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updateLinks="never" codeName="ThisWorkbook" autoCompressPictures="0"/>
  <mc:AlternateContent xmlns:mc="http://schemas.openxmlformats.org/markup-compatibility/2006">
    <mc:Choice Requires="x15">
      <x15ac:absPath xmlns:x15ac="http://schemas.microsoft.com/office/spreadsheetml/2010/11/ac" url="https://rmitoutlook.sharepoint.com/sites/KUM_shveits/Shared Documents/Töörühm/02 Kohtumine 31-01-2025/"/>
    </mc:Choice>
  </mc:AlternateContent>
  <xr:revisionPtr revIDLastSave="1115" documentId="13_ncr:1_{A451CB4D-D887-4B2D-83C5-985FDB008B42}" xr6:coauthVersionLast="47" xr6:coauthVersionMax="47" xr10:uidLastSave="{209C111B-C429-4D49-B414-D98FC135398C}"/>
  <bookViews>
    <workbookView xWindow="-110" yWindow="-110" windowWidth="19420" windowHeight="1042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xlnm._FilterDatabase" localSheetId="1" hidden="1">'Financial Progress'!$A$1:$CB$1</definedName>
    <definedName name="_Ref10720987" localSheetId="3">'Programme Characteristics'!$D$20</definedName>
    <definedName name="_Ref10721025" localSheetId="3">'Programme Characteristics'!$E$24</definedName>
    <definedName name="_Ref10721044" localSheetId="3">'Programme Characteristics'!$E$28</definedName>
    <definedName name="_Ref10721048" localSheetId="3">'Programme Characteristics'!$E$25</definedName>
    <definedName name="_Ref10725977" localSheetId="3">'Programme Characteristics'!#REF!</definedName>
    <definedName name="_Ref8906408" localSheetId="3">'Programme Characteristics'!$E$33</definedName>
    <definedName name="_Toc244570802" localSheetId="0">'Reimbursement Request'!#REF!</definedName>
    <definedName name="_xlnm.Print_Area" localSheetId="1">'Financial Progress'!$A$2:$BV$50</definedName>
    <definedName name="_xlnm.Print_Area" localSheetId="4">'Procurement plan'!$A$1:$S$17</definedName>
    <definedName name="_xlnm.Print_Area" localSheetId="3">'Programme Characteristics'!$A$1:$J$12</definedName>
    <definedName name="_xlnm.Print_Area" localSheetId="0">'Reimbursement Request'!$A$1:$I$75</definedName>
    <definedName name="Z_18716E43_88F1_44DC_AE73_ADDC61118D9F_.wvu.Cols" localSheetId="1" hidden="1">'Financial Progress'!$BL:$BL,'Financial Progress'!#REF!</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35" i="3" l="1"/>
  <c r="BU35" i="3"/>
  <c r="BT35" i="3"/>
  <c r="C20" i="20"/>
  <c r="C19" i="20"/>
  <c r="C18" i="20"/>
  <c r="C17" i="20"/>
  <c r="C16" i="20"/>
  <c r="A20" i="20"/>
  <c r="A19" i="20"/>
  <c r="A18" i="20"/>
  <c r="A17" i="20"/>
  <c r="A16" i="20"/>
  <c r="M10" i="12" l="1"/>
  <c r="M11" i="12"/>
  <c r="M12" i="12"/>
  <c r="M13" i="12"/>
  <c r="M14" i="12"/>
  <c r="M15" i="12"/>
  <c r="M9" i="12"/>
  <c r="BS37" i="3"/>
  <c r="BS35" i="3" s="1"/>
  <c r="BR37" i="3"/>
  <c r="BR35" i="3" s="1"/>
  <c r="BQ37" i="3"/>
  <c r="BQ35" i="3" s="1"/>
  <c r="BV29" i="3"/>
  <c r="BU29" i="3"/>
  <c r="BT29" i="3"/>
  <c r="BV24" i="3"/>
  <c r="BU24" i="3"/>
  <c r="BT24" i="3"/>
  <c r="BV16" i="3"/>
  <c r="BU16" i="3"/>
  <c r="BT16" i="3"/>
  <c r="BS31" i="3"/>
  <c r="BR31" i="3"/>
  <c r="BQ31" i="3"/>
  <c r="BS29" i="3"/>
  <c r="BR29" i="3"/>
  <c r="BQ29" i="3"/>
  <c r="BS28" i="3"/>
  <c r="BS24" i="3" s="1"/>
  <c r="BR28" i="3"/>
  <c r="BR24" i="3" s="1"/>
  <c r="BQ28" i="3"/>
  <c r="BQ24" i="3"/>
  <c r="BR18" i="3"/>
  <c r="BR16" i="3" s="1"/>
  <c r="BS17" i="3"/>
  <c r="BR17" i="3"/>
  <c r="BQ17" i="3"/>
  <c r="BQ18" i="3" s="1"/>
  <c r="BQ16" i="3" s="1"/>
  <c r="BQ39" i="3" l="1"/>
  <c r="BR39" i="3"/>
  <c r="BS18" i="3"/>
  <c r="BS16" i="3" s="1"/>
  <c r="BS39" i="3" s="1"/>
  <c r="F11" i="3"/>
  <c r="BJ19" i="3" l="1"/>
  <c r="BJ21" i="3"/>
  <c r="BK21" i="3" s="1"/>
  <c r="BJ22" i="3"/>
  <c r="BL22" i="3" s="1"/>
  <c r="BJ20" i="3"/>
  <c r="BK20" i="3" s="1"/>
  <c r="A39" i="17"/>
  <c r="A32" i="17"/>
  <c r="A25" i="17"/>
  <c r="BK22" i="3" l="1"/>
  <c r="BL21" i="3"/>
  <c r="BL20" i="3"/>
  <c r="BV39" i="3" l="1"/>
  <c r="BT39" i="3"/>
  <c r="BU39" i="3"/>
  <c r="C35" i="3" l="1"/>
  <c r="C29" i="3"/>
  <c r="A15" i="17"/>
  <c r="F10" i="2" l="1"/>
  <c r="C10" i="2"/>
  <c r="BF35" i="3"/>
  <c r="BF29" i="3"/>
  <c r="BF24" i="3"/>
  <c r="BF16" i="3"/>
  <c r="BF10" i="3"/>
  <c r="BB35" i="3"/>
  <c r="BB29" i="3"/>
  <c r="BB24" i="3"/>
  <c r="BB16" i="3"/>
  <c r="BB10" i="3"/>
  <c r="AX35" i="3"/>
  <c r="AX29" i="3"/>
  <c r="AX24" i="3"/>
  <c r="AX16" i="3"/>
  <c r="AX10" i="3"/>
  <c r="AT35" i="3"/>
  <c r="AT29" i="3"/>
  <c r="AT24" i="3"/>
  <c r="AT16" i="3"/>
  <c r="AT10" i="3"/>
  <c r="AP35" i="3"/>
  <c r="AP29" i="3"/>
  <c r="AP24" i="3"/>
  <c r="AP16" i="3"/>
  <c r="AP10" i="3"/>
  <c r="AL35" i="3"/>
  <c r="AL29" i="3"/>
  <c r="AL24" i="3"/>
  <c r="AL16" i="3"/>
  <c r="AL10" i="3"/>
  <c r="AH35" i="3"/>
  <c r="AH29" i="3"/>
  <c r="AH24" i="3"/>
  <c r="AH16" i="3"/>
  <c r="AH10" i="3"/>
  <c r="AD35" i="3"/>
  <c r="AD29" i="3"/>
  <c r="AD24" i="3"/>
  <c r="AD16" i="3"/>
  <c r="AD10" i="3"/>
  <c r="Z35" i="3"/>
  <c r="Z29" i="3"/>
  <c r="Z24" i="3"/>
  <c r="Z16" i="3"/>
  <c r="Z10" i="3"/>
  <c r="V35" i="3"/>
  <c r="V29" i="3"/>
  <c r="V24" i="3"/>
  <c r="V16" i="3"/>
  <c r="V10" i="3"/>
  <c r="R35" i="3"/>
  <c r="R29" i="3"/>
  <c r="R24" i="3"/>
  <c r="R16" i="3"/>
  <c r="R10" i="3"/>
  <c r="N35" i="3"/>
  <c r="N29" i="3"/>
  <c r="N24" i="3"/>
  <c r="N16" i="3"/>
  <c r="N10" i="3"/>
  <c r="J35" i="3"/>
  <c r="J29" i="3"/>
  <c r="J24" i="3"/>
  <c r="J16" i="3"/>
  <c r="J10" i="3"/>
  <c r="F35" i="3"/>
  <c r="A6" i="17"/>
  <c r="C10" i="3"/>
  <c r="C16" i="3"/>
  <c r="B9" i="3"/>
  <c r="E35" i="3" l="1"/>
  <c r="M35" i="3"/>
  <c r="O35" i="3"/>
  <c r="U35" i="3"/>
  <c r="W35" i="3"/>
  <c r="AC35" i="3"/>
  <c r="AE35" i="3"/>
  <c r="AK35" i="3"/>
  <c r="AM35" i="3"/>
  <c r="AS35" i="3"/>
  <c r="AU35" i="3"/>
  <c r="BA35" i="3"/>
  <c r="BC35" i="3"/>
  <c r="BI35" i="3"/>
  <c r="BJ36" i="3"/>
  <c r="BK36" i="3" s="1"/>
  <c r="BJ37" i="3"/>
  <c r="BK37" i="3" s="1"/>
  <c r="BJ38" i="3"/>
  <c r="BL38" i="3" s="1"/>
  <c r="F29" i="3"/>
  <c r="F24" i="3"/>
  <c r="F16" i="3"/>
  <c r="E29" i="3"/>
  <c r="C24" i="3"/>
  <c r="E24" i="3" s="1"/>
  <c r="E16" i="3"/>
  <c r="E10" i="3"/>
  <c r="C15" i="2"/>
  <c r="BJ31" i="3"/>
  <c r="BL31" i="3" s="1"/>
  <c r="BJ18" i="3"/>
  <c r="BK18" i="3" s="1"/>
  <c r="BJ26" i="3"/>
  <c r="BL26" i="3" s="1"/>
  <c r="E39" i="3" l="1"/>
  <c r="C39" i="3"/>
  <c r="BG35" i="3"/>
  <c r="BH35" i="3" s="1"/>
  <c r="BL36" i="3"/>
  <c r="AQ35" i="3"/>
  <c r="AR35" i="3" s="1"/>
  <c r="AI35" i="3"/>
  <c r="AJ35" i="3" s="1"/>
  <c r="K35" i="3"/>
  <c r="L35" i="3" s="1"/>
  <c r="BK38" i="3"/>
  <c r="AY35" i="3"/>
  <c r="AZ35" i="3" s="1"/>
  <c r="AA35" i="3"/>
  <c r="AB35" i="3" s="1"/>
  <c r="S35" i="3"/>
  <c r="T35" i="3" s="1"/>
  <c r="BL37" i="3"/>
  <c r="BE35" i="3"/>
  <c r="BD35" i="3" s="1"/>
  <c r="AW35" i="3"/>
  <c r="AV35" i="3" s="1"/>
  <c r="AO35" i="3"/>
  <c r="AN35" i="3" s="1"/>
  <c r="AG35" i="3"/>
  <c r="AF35" i="3" s="1"/>
  <c r="Y35" i="3"/>
  <c r="X35" i="3" s="1"/>
  <c r="Q35" i="3"/>
  <c r="P35" i="3" s="1"/>
  <c r="BJ35" i="3"/>
  <c r="BK35" i="3" s="1"/>
  <c r="BK31" i="3"/>
  <c r="BL18" i="3"/>
  <c r="BK26" i="3"/>
  <c r="BJ34" i="3"/>
  <c r="BL34" i="3" s="1"/>
  <c r="BJ33" i="3"/>
  <c r="BL33" i="3" s="1"/>
  <c r="BJ32" i="3"/>
  <c r="BK32" i="3" s="1"/>
  <c r="BJ30" i="3"/>
  <c r="BL30" i="3" s="1"/>
  <c r="BJ28" i="3"/>
  <c r="BL28" i="3" s="1"/>
  <c r="BJ27" i="3"/>
  <c r="BL27" i="3" s="1"/>
  <c r="BJ25" i="3"/>
  <c r="BK25" i="3" s="1"/>
  <c r="BJ23" i="3"/>
  <c r="BL23" i="3" s="1"/>
  <c r="BK19" i="3"/>
  <c r="BJ17" i="3"/>
  <c r="BI29" i="3"/>
  <c r="BG24" i="3"/>
  <c r="BI16" i="3"/>
  <c r="BG10" i="3"/>
  <c r="BC29" i="3"/>
  <c r="BE24" i="3"/>
  <c r="BC16" i="3"/>
  <c r="BC10" i="3"/>
  <c r="BA29" i="3"/>
  <c r="AY24" i="3"/>
  <c r="BA16" i="3"/>
  <c r="BA10" i="3"/>
  <c r="AU29" i="3"/>
  <c r="AW24" i="3"/>
  <c r="AW10" i="3"/>
  <c r="AS29" i="3"/>
  <c r="AS24" i="3"/>
  <c r="AS16" i="3"/>
  <c r="AS10" i="3"/>
  <c r="AM29" i="3"/>
  <c r="AO24" i="3"/>
  <c r="AM16" i="3"/>
  <c r="AO10" i="3"/>
  <c r="AI29" i="3"/>
  <c r="AK24" i="3"/>
  <c r="AI16" i="3"/>
  <c r="AK10" i="3"/>
  <c r="AG29" i="3"/>
  <c r="AG24" i="3"/>
  <c r="AE16" i="3"/>
  <c r="AG10" i="3"/>
  <c r="AC29" i="3"/>
  <c r="AC24" i="3"/>
  <c r="AC16" i="3"/>
  <c r="AC10" i="3"/>
  <c r="Y29" i="3"/>
  <c r="W24" i="3"/>
  <c r="W16" i="3"/>
  <c r="Y10" i="3"/>
  <c r="U29" i="3"/>
  <c r="U24" i="3"/>
  <c r="U16" i="3"/>
  <c r="U10" i="3"/>
  <c r="O29" i="3"/>
  <c r="Q24" i="3"/>
  <c r="O16" i="3"/>
  <c r="O10" i="3"/>
  <c r="K29" i="3"/>
  <c r="K16" i="3"/>
  <c r="M10" i="3"/>
  <c r="AA16" i="3"/>
  <c r="C7" i="3"/>
  <c r="AX7" i="3" s="1"/>
  <c r="E20" i="2"/>
  <c r="B9" i="21"/>
  <c r="B10" i="21"/>
  <c r="B11" i="21"/>
  <c r="B12" i="21"/>
  <c r="E19" i="2"/>
  <c r="E21" i="2"/>
  <c r="E18" i="2"/>
  <c r="I24" i="3"/>
  <c r="C9" i="21"/>
  <c r="G29" i="3"/>
  <c r="I16" i="3"/>
  <c r="A3" i="2"/>
  <c r="A2" i="2"/>
  <c r="A1" i="21"/>
  <c r="C7" i="20"/>
  <c r="A1" i="19"/>
  <c r="A1" i="12"/>
  <c r="A1" i="3"/>
  <c r="A1" i="17"/>
  <c r="G6" i="19"/>
  <c r="B24" i="2"/>
  <c r="B26" i="2" l="1"/>
  <c r="F26" i="2" s="1"/>
  <c r="F25" i="2"/>
  <c r="A2" i="21"/>
  <c r="BL35" i="3"/>
  <c r="AA10" i="3"/>
  <c r="AB10" i="3" s="1"/>
  <c r="AY16" i="3"/>
  <c r="AZ16" i="3" s="1"/>
  <c r="AK16" i="3"/>
  <c r="AJ16" i="3" s="1"/>
  <c r="BE10" i="3"/>
  <c r="BD10" i="3" s="1"/>
  <c r="AO16" i="3"/>
  <c r="AN16" i="3" s="1"/>
  <c r="AQ29" i="3"/>
  <c r="AR29" i="3" s="1"/>
  <c r="AE10" i="3"/>
  <c r="AF10" i="3" s="1"/>
  <c r="BG29" i="3"/>
  <c r="BH29" i="3" s="1"/>
  <c r="AQ16" i="3"/>
  <c r="AR16" i="3" s="1"/>
  <c r="AI10" i="3"/>
  <c r="AJ10" i="3" s="1"/>
  <c r="AU10" i="3"/>
  <c r="AV10" i="3" s="1"/>
  <c r="AE29" i="3"/>
  <c r="AF29" i="3" s="1"/>
  <c r="W10" i="3"/>
  <c r="X10" i="3" s="1"/>
  <c r="AY10" i="3"/>
  <c r="AZ10" i="3" s="1"/>
  <c r="Y16" i="3"/>
  <c r="X16" i="3" s="1"/>
  <c r="S10" i="3"/>
  <c r="T10" i="3" s="1"/>
  <c r="Q10" i="3"/>
  <c r="P10" i="3" s="1"/>
  <c r="AM10" i="3"/>
  <c r="AN10" i="3" s="1"/>
  <c r="AY29" i="3"/>
  <c r="AZ29" i="3" s="1"/>
  <c r="AG16" i="3"/>
  <c r="AF16" i="3" s="1"/>
  <c r="BI24" i="3"/>
  <c r="BH24" i="3" s="1"/>
  <c r="BI10" i="3"/>
  <c r="AU24" i="3"/>
  <c r="AV24" i="3" s="1"/>
  <c r="BC24" i="3"/>
  <c r="BD24" i="3" s="1"/>
  <c r="BK28" i="3"/>
  <c r="AE24" i="3"/>
  <c r="AF24" i="3" s="1"/>
  <c r="Q29" i="3"/>
  <c r="P29" i="3" s="1"/>
  <c r="AA29" i="3"/>
  <c r="AB29" i="3" s="1"/>
  <c r="S29" i="3"/>
  <c r="T29" i="3" s="1"/>
  <c r="AI24" i="3"/>
  <c r="AJ24" i="3" s="1"/>
  <c r="W29" i="3"/>
  <c r="X29" i="3" s="1"/>
  <c r="AQ24" i="3"/>
  <c r="AR24" i="3" s="1"/>
  <c r="AM24" i="3"/>
  <c r="AN24" i="3" s="1"/>
  <c r="AC39" i="3"/>
  <c r="AK29" i="3"/>
  <c r="AJ29" i="3" s="1"/>
  <c r="O24" i="3"/>
  <c r="P24" i="3" s="1"/>
  <c r="AQ10" i="3"/>
  <c r="AR10" i="3" s="1"/>
  <c r="BG16" i="3"/>
  <c r="BH16" i="3" s="1"/>
  <c r="C12" i="21"/>
  <c r="I29" i="3"/>
  <c r="H29" i="3" s="1"/>
  <c r="M29" i="3"/>
  <c r="L29" i="3" s="1"/>
  <c r="BK27" i="3"/>
  <c r="M16" i="3"/>
  <c r="L16" i="3" s="1"/>
  <c r="AB16" i="3"/>
  <c r="BA24" i="3"/>
  <c r="AZ24" i="3" s="1"/>
  <c r="AA24" i="3"/>
  <c r="AB24" i="3" s="1"/>
  <c r="S24" i="3"/>
  <c r="T24" i="3" s="1"/>
  <c r="A2" i="3"/>
  <c r="A2" i="19"/>
  <c r="A2" i="12"/>
  <c r="A2" i="17"/>
  <c r="K10" i="3"/>
  <c r="L10" i="3" s="1"/>
  <c r="AT39" i="3"/>
  <c r="R7" i="3"/>
  <c r="BL25" i="3"/>
  <c r="AD39" i="3"/>
  <c r="AP39" i="3"/>
  <c r="AD7" i="3"/>
  <c r="Z39" i="3"/>
  <c r="BF39" i="3"/>
  <c r="BJ24" i="3"/>
  <c r="BL24" i="3" s="1"/>
  <c r="F7" i="3"/>
  <c r="AP7" i="3"/>
  <c r="BK23" i="3"/>
  <c r="BJ7" i="3"/>
  <c r="N7" i="3"/>
  <c r="BF7" i="3"/>
  <c r="AT7" i="3"/>
  <c r="AL7" i="3"/>
  <c r="C10" i="21"/>
  <c r="AO29" i="3"/>
  <c r="AN29" i="3" s="1"/>
  <c r="BE29" i="3"/>
  <c r="BD29" i="3" s="1"/>
  <c r="BK33" i="3"/>
  <c r="BB39" i="3"/>
  <c r="AL39" i="3"/>
  <c r="AW29" i="3"/>
  <c r="AV29" i="3" s="1"/>
  <c r="BJ29" i="3"/>
  <c r="BK29" i="3" s="1"/>
  <c r="BK34" i="3"/>
  <c r="R39" i="3"/>
  <c r="Q16" i="3"/>
  <c r="P16" i="3" s="1"/>
  <c r="AW16" i="3"/>
  <c r="BJ16" i="3"/>
  <c r="BL16" i="3" s="1"/>
  <c r="BL32" i="3"/>
  <c r="J7" i="3"/>
  <c r="BB7" i="3"/>
  <c r="AU16" i="3"/>
  <c r="BE16" i="3"/>
  <c r="BD16" i="3" s="1"/>
  <c r="G16" i="3"/>
  <c r="Z7" i="3"/>
  <c r="AH39" i="3"/>
  <c r="J39" i="3"/>
  <c r="V39" i="3"/>
  <c r="B12" i="2"/>
  <c r="S16" i="3"/>
  <c r="N39" i="3"/>
  <c r="K24" i="3"/>
  <c r="M24" i="3"/>
  <c r="BL17" i="3"/>
  <c r="BL19" i="3"/>
  <c r="BK30" i="3"/>
  <c r="AH7" i="3"/>
  <c r="V7" i="3"/>
  <c r="AX39" i="3"/>
  <c r="BK17" i="3"/>
  <c r="Y24" i="3"/>
  <c r="X24" i="3" s="1"/>
  <c r="G24" i="3"/>
  <c r="C11" i="21"/>
  <c r="AS39" i="3"/>
  <c r="D14" i="2" l="1"/>
  <c r="BM29" i="3"/>
  <c r="BM24" i="3"/>
  <c r="H16" i="3"/>
  <c r="BM16" i="3"/>
  <c r="D39" i="3"/>
  <c r="AB39" i="3"/>
  <c r="BA39" i="3"/>
  <c r="BI39" i="3"/>
  <c r="BH10" i="3"/>
  <c r="BH39" i="3" s="1"/>
  <c r="AW39" i="3"/>
  <c r="AG39" i="3"/>
  <c r="AK39" i="3"/>
  <c r="W39" i="3"/>
  <c r="U39" i="3"/>
  <c r="BN24" i="3"/>
  <c r="BP24" i="3" s="1"/>
  <c r="Y39" i="3"/>
  <c r="AM39" i="3"/>
  <c r="O39" i="3"/>
  <c r="BC39" i="3"/>
  <c r="AY39" i="3"/>
  <c r="AZ39" i="3"/>
  <c r="Q39" i="3"/>
  <c r="AR39" i="3"/>
  <c r="AO39" i="3"/>
  <c r="AA39" i="3"/>
  <c r="BG39" i="3"/>
  <c r="AN39" i="3"/>
  <c r="BN16" i="3"/>
  <c r="BP16" i="3" s="1"/>
  <c r="AI39" i="3"/>
  <c r="BL29" i="3"/>
  <c r="AE39" i="3"/>
  <c r="P39" i="3"/>
  <c r="AF39" i="3"/>
  <c r="BK24" i="3"/>
  <c r="M39" i="3"/>
  <c r="X39" i="3"/>
  <c r="AQ39" i="3"/>
  <c r="BD39" i="3"/>
  <c r="BE39" i="3"/>
  <c r="BN29" i="3"/>
  <c r="BK16" i="3"/>
  <c r="AV16" i="3"/>
  <c r="AV39" i="3" s="1"/>
  <c r="AU39" i="3"/>
  <c r="S39" i="3"/>
  <c r="T16" i="3"/>
  <c r="T39" i="3" s="1"/>
  <c r="H24" i="3"/>
  <c r="K39" i="3"/>
  <c r="L24" i="3"/>
  <c r="BO24" i="3" l="1"/>
  <c r="L39" i="3"/>
  <c r="AJ39" i="3"/>
  <c r="BO16" i="3"/>
  <c r="BO29" i="3"/>
  <c r="BP29" i="3"/>
  <c r="F10" i="3" l="1"/>
  <c r="F39" i="3" s="1"/>
  <c r="BJ14" i="3"/>
  <c r="BK14" i="3" s="1"/>
  <c r="BJ12" i="3"/>
  <c r="BL12" i="3" s="1"/>
  <c r="BJ15" i="3"/>
  <c r="BL15" i="3" s="1"/>
  <c r="BJ13" i="3"/>
  <c r="BL13" i="3" s="1"/>
  <c r="BJ11" i="3"/>
  <c r="BK15" i="3" l="1"/>
  <c r="BK13" i="3"/>
  <c r="BJ10" i="3"/>
  <c r="BK11" i="3"/>
  <c r="BL14" i="3"/>
  <c r="I10" i="3"/>
  <c r="G10" i="3"/>
  <c r="BK12" i="3"/>
  <c r="BL11" i="3"/>
  <c r="BM10" i="3" l="1"/>
  <c r="BL10" i="3"/>
  <c r="BJ39" i="3"/>
  <c r="BK39" i="3" s="1"/>
  <c r="BK10" i="3"/>
  <c r="BN10" i="3"/>
  <c r="H10" i="3"/>
  <c r="BL39" i="3" l="1"/>
  <c r="BO10" i="3"/>
  <c r="BP10" i="3"/>
  <c r="B18" i="2"/>
  <c r="G35" i="3"/>
  <c r="G39" i="3" s="1"/>
  <c r="I35" i="3"/>
  <c r="BN35" i="3" l="1"/>
  <c r="BO35" i="3" s="1"/>
  <c r="I39" i="3"/>
  <c r="F21" i="2" s="1"/>
  <c r="C14" i="20" s="1"/>
  <c r="F18" i="2"/>
  <c r="BM35" i="3"/>
  <c r="BM39" i="3" s="1"/>
  <c r="H35" i="3"/>
  <c r="H39" i="3" l="1"/>
  <c r="F19" i="2" s="1"/>
  <c r="B19" i="2" s="1"/>
  <c r="B21" i="2" s="1"/>
  <c r="BP35" i="3"/>
  <c r="BN39" i="3"/>
  <c r="I14" i="2" s="1"/>
  <c r="B27" i="2"/>
  <c r="B28" i="2" s="1"/>
  <c r="F28" i="2" s="1"/>
  <c r="BO39" i="3" l="1"/>
  <c r="BP39" i="3"/>
  <c r="G10" i="19"/>
  <c r="G11" i="19" s="1"/>
  <c r="F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8AC88037-6655-4FD5-A5BD-A8C0E5DF068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BT8" authorId="1" shapeId="0" xr:uid="{45132B0F-8842-47E6-B6D1-4ECF0F77B08F}">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6"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4"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<sst xmlns="http://schemas.openxmlformats.org/spreadsheetml/2006/main" count="612" uniqueCount="354">
  <si>
    <t>Swiss-Estonian Cooperation Programme</t>
  </si>
  <si>
    <t>Instructions</t>
  </si>
  <si>
    <t>Estonia</t>
  </si>
  <si>
    <t>A. Basic information</t>
  </si>
  <si>
    <t>Support Measure Title</t>
  </si>
  <si>
    <t>Supporting Social Inclusion</t>
  </si>
  <si>
    <t>Support Measure Identification Code</t>
  </si>
  <si>
    <t>7F-10699.01</t>
  </si>
  <si>
    <t xml:space="preserve">Support Measure duration </t>
  </si>
  <si>
    <t xml:space="preserve">from </t>
  </si>
  <si>
    <t xml:space="preserve">to </t>
  </si>
  <si>
    <t>Name of Executing Agency (EA)</t>
  </si>
  <si>
    <t>Ministry of Culture</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</si>
  <si>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</si>
  <si>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</si>
  <si>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</si>
  <si>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</si>
  <si>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</si>
  <si>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</si>
  <si>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</si>
  <si>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</si>
  <si>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</si>
  <si>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</si>
  <si>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</si>
  <si>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</si>
  <si>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</si>
  <si>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</si>
  <si>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</si>
  <si>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</si>
  <si>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</si>
  <si>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</si>
  <si>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</si>
  <si>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</si>
  <si>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</si>
  <si>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</si>
  <si>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</si>
  <si>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</si>
  <si>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</si>
  <si>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</si>
  <si>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Address:</t>
  </si>
  <si>
    <t>Suur-Karja 23,15076 Tallinn, Estonia</t>
  </si>
  <si>
    <t>Name of the contact person:</t>
  </si>
  <si>
    <t>Olga Gnezdovski</t>
  </si>
  <si>
    <t>Position:</t>
  </si>
  <si>
    <t>Coordinator of the Estonian-Swiss Cooperation Programme</t>
  </si>
  <si>
    <t>Email:</t>
  </si>
  <si>
    <t>olga.gnezdovski@kul.ee</t>
  </si>
  <si>
    <t>Phone number:</t>
  </si>
  <si>
    <t>+37255528081</t>
  </si>
  <si>
    <t>The Executing Agency hereby certifies</t>
  </si>
  <si>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</si>
  <si>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Name: Heidy Purga</t>
  </si>
  <si>
    <t xml:space="preserve">Position: </t>
  </si>
  <si>
    <t>Minister</t>
  </si>
  <si>
    <t>Place, date and signature</t>
  </si>
  <si>
    <t>digitally signed</t>
  </si>
  <si>
    <t>National Coordination Unit</t>
  </si>
  <si>
    <t>State Shared Service Centre</t>
  </si>
  <si>
    <t>Lõkke 4, 10122 Tallinn</t>
  </si>
  <si>
    <t>Helena Musthallik</t>
  </si>
  <si>
    <t>programme expert</t>
  </si>
  <si>
    <t>helena.musthallik@rtk.ee</t>
  </si>
  <si>
    <t>+3726632073</t>
  </si>
  <si>
    <t>The National Coordination Unit hereby certifies</t>
  </si>
  <si>
    <t>Name: Urmo Merila</t>
  </si>
  <si>
    <t>Deputy Director General</t>
  </si>
  <si>
    <t>Date and signature</t>
  </si>
  <si>
    <t>Paying Authority</t>
  </si>
  <si>
    <t>Janika Otsing</t>
  </si>
  <si>
    <t>financial specialist</t>
  </si>
  <si>
    <t>janika.otsing@rtk.ee</t>
  </si>
  <si>
    <t>+3726631926</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</si>
  <si>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</si>
  <si>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relevant Support Measure Agreement;
(v) that based on the information available to the Paying Authority no double-financing could be identified;
(vi) that recoverable VAT is not included in the Reimbursement Request as eligible expense.</t>
  </si>
  <si>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</si>
  <si>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</si>
  <si>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</si>
  <si>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</si>
  <si>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</si>
  <si>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</si>
  <si>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</si>
  <si>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</si>
  <si>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</si>
  <si>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</si>
  <si>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</si>
  <si>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</si>
  <si>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</si>
  <si>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</si>
  <si>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</si>
  <si>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</si>
  <si>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</si>
  <si>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</si>
  <si>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</si>
  <si>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</si>
  <si>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</si>
  <si>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</si>
  <si>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</si>
  <si>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</si>
  <si>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</si>
  <si>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</si>
  <si>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</si>
  <si>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</si>
  <si>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</si>
  <si>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</si>
  <si>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</si>
  <si>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</si>
  <si>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</si>
  <si>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</si>
  <si>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</si>
  <si>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</si>
  <si>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</si>
  <si>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</si>
  <si>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</si>
  <si>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</si>
  <si>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</si>
  <si>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</si>
  <si>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</si>
  <si>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</si>
  <si>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</si>
  <si>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</si>
  <si>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</si>
  <si>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</si>
  <si>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</si>
  <si>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</si>
  <si>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</si>
  <si>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</si>
  <si>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</si>
  <si>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</si>
  <si>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</si>
  <si>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</si>
  <si>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</si>
  <si>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</si>
  <si>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</si>
  <si>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</si>
  <si>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</si>
  <si>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</si>
  <si>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</si>
  <si>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</si>
  <si>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</si>
  <si>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</si>
  <si>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</si>
  <si>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</si>
  <si>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</si>
  <si>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</si>
  <si>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</si>
  <si>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</si>
  <si>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</si>
  <si>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</si>
  <si>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</si>
  <si>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</si>
  <si>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</si>
  <si>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</si>
  <si>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</si>
  <si>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</si>
  <si>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</si>
  <si>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</si>
  <si>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</si>
  <si>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</si>
  <si>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</si>
  <si>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</si>
  <si>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</si>
  <si>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</si>
  <si>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</si>
  <si>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</si>
  <si>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</si>
  <si>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</si>
  <si>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</si>
  <si>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</si>
  <si>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</si>
  <si>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</si>
  <si>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</si>
  <si>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</si>
  <si>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Management Costs</t>
  </si>
  <si>
    <t>Personnel</t>
  </si>
  <si>
    <t>Meetings, seminars and visits</t>
  </si>
  <si>
    <t>Swiss experts and partners</t>
  </si>
  <si>
    <t>Information and communication</t>
  </si>
  <si>
    <t>Reserve costs</t>
  </si>
  <si>
    <t xml:space="preserve">Programme Component 1 “Cultural and linguistic integration” </t>
  </si>
  <si>
    <t>Programme Component coordinator MoC</t>
  </si>
  <si>
    <t>.</t>
  </si>
  <si>
    <t>Overheads</t>
  </si>
  <si>
    <t>Activity 1: Preparation of digital transformation in the field of integration (incl personnel costs)</t>
  </si>
  <si>
    <t>Activity 2: Inclusion of volunteers in the integration activities (incl personnel costs)</t>
  </si>
  <si>
    <t>Activity 3: Provision of counselling services including in language learning (incl personnel costs)</t>
  </si>
  <si>
    <t>Activity 4:  Activities introducing the Estonian cultural space (incl personnel costs)</t>
  </si>
  <si>
    <t>Activity 5: Provision of media literacy training (incl personnel costs)</t>
  </si>
  <si>
    <t>144 500,00</t>
  </si>
  <si>
    <t>255 000,00</t>
  </si>
  <si>
    <t>327 250,00</t>
  </si>
  <si>
    <t>Programme Component 2 "Strengthening the social-and child protection services"</t>
  </si>
  <si>
    <t xml:space="preserve">Programme Component coordinator in MoSA </t>
  </si>
  <si>
    <t>Activity 1:curricula and professional qualification modification (incl personnel costs)</t>
  </si>
  <si>
    <t>Activity 2: training and counselling system (incl personnel costs)</t>
  </si>
  <si>
    <t>Programme Component 3 “Increasing multicultural competence in the education sector”</t>
  </si>
  <si>
    <t>Programme Component coordinator in MoER</t>
  </si>
  <si>
    <t>Overheads*</t>
  </si>
  <si>
    <t>Activity 1. In-service training for professionals in the education sector (incl personnel costs)</t>
  </si>
  <si>
    <t>4,3,1</t>
  </si>
  <si>
    <t>Activity 1 coordinator in the Education and Youth Board</t>
  </si>
  <si>
    <t>Activity 2. Informing, counselling and supporting parents with a different linguistic and cultural backgrounds (incl personnel costs)</t>
  </si>
  <si>
    <t>Programme Component 4 “Strengthening civil society through social innovation.”</t>
  </si>
  <si>
    <t>Programme Component Coordinator in MoI</t>
  </si>
  <si>
    <t>Building civil society competence, raising public awareness and disseminating information on social innovation (incl personnel costs)</t>
  </si>
  <si>
    <t>TOTAL</t>
  </si>
  <si>
    <r>
      <t xml:space="preserve">Information on modifications of the Support Measure approved during the reporting period 
</t>
    </r>
    <r>
      <rPr>
        <i/>
        <sz val="11"/>
        <rFont val="Arial Narrow"/>
        <family val="2"/>
      </rPr>
      <t xml:space="preserve">According to Regulation Article 4.12 </t>
    </r>
  </si>
  <si>
    <t>There were no budgetary changes during the reporting period.  
The first steering committee meeting was held on 16 October 2024. The meeting decided on the minimum set of basic characteristics to be collected and the disaggregation to be done in indicators (for further information, please refer to the protocol).</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</si>
  <si>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</si>
  <si>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No non-eligible expenditures were indicated during the reporting period.</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</si>
  <si>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</si>
  <si>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are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</si>
  <si>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</si>
  <si>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</si>
  <si>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</si>
  <si>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Operational Progress</t>
  </si>
  <si>
    <t xml:space="preserve">No </t>
  </si>
  <si>
    <t>Short description of activities undertaken in the reporting period</t>
  </si>
  <si>
    <t>Estimated cumulative physical progress (%)</t>
  </si>
  <si>
    <r>
      <t>Activity 5: Provision of media literacy training:</t>
    </r>
    <r>
      <rPr>
        <sz val="10"/>
        <color rgb="FF000000"/>
        <rFont val="Arial"/>
        <family val="2"/>
        <charset val="186"/>
      </rPr>
      <t xml:space="preserve"> The National Library of Estonian has been preparing for the project by putting a team together, mapping media literacy experts outside the library, researching the needs of the target audience and Estonian libraries. Approaches from the service design field were used to learn about the behaviour patterns of the target audience and in-depth interviews were conducted with several media literacy and adult education experts, as well as community leaders. The team of The National Library of Estonia organised a workshop with Estonian libraries' managers and additionally met with libraries and their visitors in the Harju ja Ida-Viru region. 
The first digital and media literacy educational programme for the country's library workers has been developed together with practical teaching material and methods, which will be produced in spring 2025.
Visual language for the project has been developed. The input for creating the project’s website has been gathered.
Media literacy experts of the National Library of Estonia analysed the quality and amount of learning materials on the topic and chose to adapt and translate to Estonian and Russian languages the Finnish 'Digital transformation guide for citizens in the digital age', which gives advice on how to cope with new technologies and manipulations.</t>
    </r>
  </si>
  <si>
    <r>
      <t xml:space="preserve">Activity 1: curricula and professional qualification modification: </t>
    </r>
    <r>
      <rPr>
        <sz val="10"/>
        <color rgb="FF000000"/>
        <rFont val="Arial"/>
        <family val="2"/>
        <charset val="186"/>
      </rPr>
      <t>There were several meetings with vocational schools, as well as a meeting with the Ministry of Education and Education and Youth Board, to map out the current landscape and establish contacts and activities to support the program. This facilitated a better understanding of the conditions and allowed planning according to identified needs. Additionally, several meetings were held with organizations focused on the integration of migrants, in order to assess the needs for developing a program to integrate migrants into the social sector workforce.</t>
    </r>
  </si>
  <si>
    <r>
      <t xml:space="preserve">Activity 2: training and counselling system: </t>
    </r>
    <r>
      <rPr>
        <sz val="10"/>
        <color rgb="FF000000"/>
        <rFont val="Arial"/>
        <family val="2"/>
        <charset val="186"/>
      </rPr>
      <t>There were several meetings held with partners at the Social Insurance Board and the Estonian Social Work Association to establish cooperation in creating social sector competency models, training, and support needs for the sector.</t>
    </r>
  </si>
  <si>
    <r>
      <rPr>
        <b/>
        <sz val="10"/>
        <color rgb="FF000000"/>
        <rFont val="Arial"/>
        <family val="2"/>
        <charset val="186"/>
      </rPr>
      <t xml:space="preserve">Activity 1. In-service training for professionals in the education sector: </t>
    </r>
    <r>
      <rPr>
        <sz val="10"/>
        <color rgb="FF000000"/>
        <rFont val="Arial"/>
        <family val="2"/>
        <charset val="186"/>
      </rPr>
      <t xml:space="preserve">Several meaningful meetings have taken place between the Ministry of Education, programme implementer, and representatives of the University of Tartu and Tallinn University. These meetings have focused on the detailed planning of activities and the clarification of funding conditions. Discussions have revolved around the role of universities as future partners, the activities required to achieve the set goals, and budgetary possibilities to ensure the programme´s effective implementation and compliance with the established requirements.  This enables us to develop training courses to the target group that align with current conditions and based on today´s needs.
</t>
    </r>
  </si>
  <si>
    <r>
      <t xml:space="preserve">Activity 2. Informing, counselling and supporting parents with a different linguistic and cultural backgrounds: </t>
    </r>
    <r>
      <rPr>
        <sz val="10"/>
        <color rgb="FF000000"/>
        <rFont val="Arial"/>
        <family val="2"/>
        <charset val="186"/>
      </rPr>
      <t xml:space="preserve">To effectively plan activities aimed at supporting the integration of non-Estonian-speaking parents into Estonian society, we initiated a mapping of activities and studies previously carried out in Estonia by various stakeholders. The studies reviewed provided valuable insights into how to effectively assist non-Estonian-speaking parents in understanding and supporting their children's educational needs. 
Over several months, we met with various stakeholders experienced in supporting non-Estonian-speaking parents. During these meetings, we analysed the main barriers of integration and social inclusion in Estonia today and sought answers to how we could facilitate this process. One of the primary concerns identified is the linguistic gap, where children have a better understanding of Estonian language than their parents. Additionally, the increasing number of Ukrainian war refugees has introduced further social tensions. The transition to Estonian-language education has further amplified the need for parental support. As a result, we have begun developing a format for a parental development programme. In collaboration with the University of Tartu’s Narva College, we plan to design a highly effective programme for parents, tailored exactly to their needs. Additionally, a feedback questionnaire will be developed as part of this effort. </t>
    </r>
  </si>
  <si>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</si>
  <si>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</si>
  <si>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</si>
  <si>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</si>
  <si>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</si>
  <si>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</si>
  <si>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</si>
  <si>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</si>
  <si>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</si>
  <si>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</si>
  <si>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</si>
  <si>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</si>
  <si>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</si>
  <si>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</si>
  <si>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</si>
  <si>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</si>
  <si>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</si>
  <si>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</si>
  <si>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</si>
  <si>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</si>
  <si>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</si>
  <si>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</si>
  <si>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</si>
  <si>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</si>
  <si>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</si>
  <si>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</si>
  <si>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</si>
  <si>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</si>
  <si>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</si>
  <si>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</si>
  <si>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</si>
  <si>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Migration / Public Safety</t>
  </si>
  <si>
    <t>Migration &amp; Integration</t>
  </si>
  <si>
    <t>national coverage</t>
  </si>
  <si>
    <t>National administration</t>
  </si>
  <si>
    <t>Ministry of Social Affairs</t>
  </si>
  <si>
    <t>Ministry of Education and Research</t>
  </si>
  <si>
    <t>Ministry of Interior</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</si>
  <si>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</si>
  <si>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</si>
  <si>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</si>
  <si>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</si>
  <si>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</si>
  <si>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</si>
  <si>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</si>
  <si>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</si>
  <si>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</si>
  <si>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</si>
  <si>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</si>
  <si>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</si>
  <si>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</si>
  <si>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</si>
  <si>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</si>
  <si>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</si>
  <si>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</si>
  <si>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</si>
  <si>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</si>
  <si>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</si>
  <si>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</si>
  <si>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</si>
  <si>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Development and piloting a volunteer programme</t>
  </si>
  <si>
    <t>Development and providing activities to introduce Estonian cultural space and increase social connections</t>
  </si>
  <si>
    <t>II/2025</t>
  </si>
  <si>
    <t>yes</t>
  </si>
  <si>
    <t>no</t>
  </si>
  <si>
    <t xml:space="preserve">Advertising new possibilities and positive changes in social care- and child protection studies and work environment </t>
  </si>
  <si>
    <t>II/2026</t>
  </si>
  <si>
    <t>III/2026</t>
  </si>
  <si>
    <t>I/2028</t>
  </si>
  <si>
    <t>No procurements of this amount are planned</t>
  </si>
  <si>
    <t>Programme Component 4 “Strengthening civil society through social innovation”</t>
  </si>
  <si>
    <t>&lt;</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</si>
  <si>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</si>
  <si>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</si>
  <si>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</si>
  <si>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</si>
  <si>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</si>
  <si>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</si>
  <si>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</si>
  <si>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</si>
  <si>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</si>
  <si>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</si>
  <si>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</si>
  <si>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</si>
  <si>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</si>
  <si>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</si>
  <si>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</si>
  <si>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</si>
  <si>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</si>
  <si>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</si>
  <si>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</si>
  <si>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</si>
  <si>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IBAN-Nr.:</t>
  </si>
  <si>
    <t>Bankbezeichnung / Name and address of the bank</t>
  </si>
  <si>
    <t>IV/2026</t>
  </si>
  <si>
    <r>
      <rPr>
        <b/>
        <sz val="10"/>
        <color rgb="FF000000"/>
        <rFont val="Arial"/>
        <family val="2"/>
        <charset val="186"/>
      </rPr>
      <t xml:space="preserve">Programme Component coordination (MoC) </t>
    </r>
    <r>
      <rPr>
        <sz val="10"/>
        <color rgb="FF000000"/>
        <rFont val="Arial"/>
        <family val="2"/>
        <charset val="186"/>
      </rPr>
      <t xml:space="preserve">In 2024 the primary focus was on activating the work of the programme with Swiss partners but also synchronizing plans and activities with INSA ja RaRa. A lot of effort has been put into finalizing the draft of the conditions for granting support. Several meetings have taken place, also the opening event at Narva in October 2024 together with the steering committee meeting. </t>
    </r>
  </si>
  <si>
    <t>III/2025</t>
  </si>
  <si>
    <r>
      <rPr>
        <b/>
        <sz val="10"/>
        <color rgb="FF000000"/>
        <rFont val="Arial"/>
        <family val="2"/>
        <charset val="186"/>
      </rPr>
      <t xml:space="preserve">Programme Component coordination (MoI): </t>
    </r>
    <r>
      <rPr>
        <sz val="10"/>
        <color rgb="FF000000"/>
        <rFont val="Arial"/>
        <family val="2"/>
        <charset val="186"/>
      </rPr>
      <t>Preparing and providing input at the programme meetings focused on developing a detailed action plan, budget, programme conditions, communication strategy and indicators. Providing ongoing assistance and supervision to the NFCS in all aspects of preparing and initiating component 4, including liaising with stakeholders on the planned activities. Participating in the initial negotiations with project partner Bern University of Applied Sciences and participating at the first Steering Group meeting of the Swiss-Estonian cooperation programme.</t>
    </r>
  </si>
  <si>
    <t>Development and implementation of new digital tools (II)</t>
  </si>
  <si>
    <t>Development and implementation of activities introducing Estonian culture and customs space</t>
  </si>
  <si>
    <t>IV/2025</t>
  </si>
  <si>
    <t>I/2026</t>
  </si>
  <si>
    <t xml:space="preserve">yes </t>
  </si>
  <si>
    <t>II/2027</t>
  </si>
  <si>
    <t>I/2027</t>
  </si>
  <si>
    <t>IV/2027</t>
  </si>
  <si>
    <t>Development and implementation of new digital tools (III)</t>
  </si>
  <si>
    <t>Development and implementation of new digital tools (IV)</t>
  </si>
  <si>
    <r>
      <rPr>
        <b/>
        <sz val="10"/>
        <color rgb="FF000000"/>
        <rFont val="Arial"/>
        <family val="2"/>
        <charset val="186"/>
      </rPr>
      <t xml:space="preserve">Activity 3: Provision of counselling services including in language learning:                                                                              </t>
    </r>
    <r>
      <rPr>
        <sz val="10"/>
        <color rgb="FF000000"/>
        <rFont val="Arial"/>
        <family val="2"/>
        <charset val="186"/>
      </rPr>
      <t xml:space="preserve">In 2024, the focus was on organizational matters, e.g. recruitment on personnel. All the staff will start their work from January 2025.   </t>
    </r>
  </si>
  <si>
    <t>Need veerud kustutatakse enne hüvitistaotluse esitamist RTK-le</t>
  </si>
  <si>
    <r>
      <t xml:space="preserve">Activity 1: Preparation of digital transformation in the field of integration: 
</t>
    </r>
    <r>
      <rPr>
        <sz val="10"/>
        <color rgb="FF000000"/>
        <rFont val="Arial"/>
        <family val="2"/>
        <charset val="186"/>
      </rPr>
      <t>2024 was primarly focused on organisational matters, e.g. recruitment of project manager, preparation of action plan etc. The focus has been on reviewing studies and analyses conducted to map various areas that describe the challenges facing new immigrants in Estonia.
Several meetings were held to map the current situation, needs and prioritizes, what helped to create a better understanding and what to focus on. 
Also the preparation process for the first procurement procedure started. The aim of the procurement is to analyze existing systems and environments to gain an overview of how today's services and solutions contribute to integration into Estonian society and to gain an overview of what changes we need to introduce to provide better support.</t>
    </r>
  </si>
  <si>
    <r>
      <t xml:space="preserve">Activity 4:  Activities introducing the Estonian cultural space:                                                                                                       </t>
    </r>
    <r>
      <rPr>
        <sz val="10"/>
        <color rgb="FF000000"/>
        <rFont val="Arial"/>
        <family val="2"/>
        <charset val="186"/>
      </rPr>
      <t xml:space="preserve">In 2024, the focus was on organizational matters, e.g. recruitment of project manager and preparation of detailed action plan. Last quarter of 2024, the project manager for the  activity 4 “Activities introducing the Estonian cultural space” started work. Preparing and providing input at the programme meetings have been focused on developing a detailed action plan, budget, programme conditions and indicators.
Meetings have been held with different stakeholders to establish cooperation, establish partner connections and map out the needs of the target group. 
The primary focus has been on analysing the previous activities regarding introducing the Estonian culture space, gathering experiences, getting acquainted with relevant research data to be able to reach the target group and address the actual needs of the target group.
Contacts with The Estonian Association of Cities and Rural Municipalities have been established to work better with the municipalities to reach the target group.
Ordering a methodical guidelines for introducing Estonian culture and customs is in process, also preparations to launch the first tender for the activities (the launch of tender is planned in II/2025).
Online seminar with Bern University of Applied Sciences will take place in May/June 2025. 
</t>
    </r>
  </si>
  <si>
    <t>N/A</t>
  </si>
  <si>
    <r>
      <rPr>
        <b/>
        <sz val="10"/>
        <color rgb="FF000000"/>
        <rFont val="Arial"/>
      </rPr>
      <t xml:space="preserve">Programme Component coordination (MoSA): </t>
    </r>
    <r>
      <rPr>
        <sz val="10"/>
        <color rgb="FF000000"/>
        <rFont val="Arial"/>
      </rPr>
      <t xml:space="preserve">In 2024, the focus was on personnel recruitment. In October, the project manager at the Department of Social Welfare and the project manager at the Department of Children and Families joined the programme. Regular meetings were held to establish cooperation, establish partner connections, and map out activities. The primary focus was on drafting the conditions for the grant support "Modernization of the Education and Qualifications of Social Sector Specialists and the Development of Training and Support Systems" (decree of the minister) outlining the conditions and procedures to for the implementation of the programme component. 
Addionally, there were meetings to plan out a study trip in May 2025 with Bern University of Applied Sciences to support the planning of activities.  
It was concluded that a partnership with the National Institute for Health Development and the Union of Child Welfare may not be the most feasible course of action at this time. For the creation of a complementary education/training system for child protection and social sector workers, training the specialists as well as providing a support/counselling system the MoSA will partner up with the Social Insurance Board and with Estonian Social Work Association. 
For curricula updates, the MoSA will engage universities and vocational schools as partners in a later phase of the activities (in the end of 2025 or at the beginning of 2026). </t>
    </r>
  </si>
  <si>
    <r>
      <t xml:space="preserve">Meetings, seminars and visits:
</t>
    </r>
    <r>
      <rPr>
        <sz val="10"/>
        <color rgb="FF000000"/>
        <rFont val="Arial"/>
      </rPr>
      <t>Steering Committee was established on 10 October 2024. The first SC meeting took place on 16 October 2024 in Narva, at the main office of the Integration Foundation.
The Task Force was established on 27 November 2024. A written procedure was conducted to formally approve the Swiss partner's action plan.
There have also been a number of other meetings between the relevant parties in connection with the programme.</t>
    </r>
  </si>
  <si>
    <r>
      <t xml:space="preserve">Information and communication:
</t>
    </r>
    <r>
      <rPr>
        <sz val="10"/>
        <rFont val="Arial"/>
        <family val="2"/>
        <charset val="186"/>
      </rPr>
      <t>The support measure opening event “Cohesive Estonian society – how do we create it together?” took place on 17 October 2024 in the Narva Town Hall. There were 75 participants from different organisations (ministries, academia, foundations and associations, local governments, etc.). At the opening event, the challenges and opportunities in the field of integration were discussed, experiences from Estonia and Switzerland were presented, and inspiring stories were shared.
Press releases to key media and social media posts about the event were issued.
The article introducing the support measure was published on the blog of the Ministry of Culture called "Kuva" (https://kul.ee/uudised/sveitsi-eesti-koostooprogramm-koos-sidusama-uhiskonna-poole). The blog is publicly available on the Ministry's website, and the article was also sent to the press list and blog subscribers.</t>
    </r>
    <r>
      <rPr>
        <b/>
        <sz val="10"/>
        <rFont val="Arial"/>
        <family val="2"/>
        <charset val="186"/>
      </rPr>
      <t xml:space="preserve">
</t>
    </r>
  </si>
  <si>
    <r>
      <t xml:space="preserve">Reserve costs:
</t>
    </r>
    <r>
      <rPr>
        <sz val="10"/>
        <rFont val="Arial"/>
        <family val="2"/>
        <charset val="186"/>
      </rPr>
      <t>The reserve costs were used to edit the Partnership Agreement.</t>
    </r>
    <r>
      <rPr>
        <b/>
        <sz val="10"/>
        <rFont val="Arial"/>
        <family val="2"/>
        <charset val="186"/>
      </rPr>
      <t xml:space="preserve">
</t>
    </r>
  </si>
  <si>
    <r>
      <rPr>
        <b/>
        <sz val="10"/>
        <rFont val="Arial"/>
        <family val="2"/>
        <charset val="186"/>
      </rPr>
      <t>Personnel:</t>
    </r>
    <r>
      <rPr>
        <sz val="10"/>
        <rFont val="Arial"/>
        <family val="2"/>
        <charset val="186"/>
      </rPr>
      <t xml:space="preserve"> 
From the end of April 2024, the programme coordinator is in place at the Ministry of Culture. The coordinator is also supported by other employees of the ministry. The NCU controls expenditures paid from the support measure.
The Support Measure Implementation Agreement between NCU and PO was signed on 19 November 2024.</t>
    </r>
  </si>
  <si>
    <r>
      <t xml:space="preserve">Programme Component coordination (MoER): </t>
    </r>
    <r>
      <rPr>
        <sz val="10"/>
        <rFont val="Arial"/>
        <family val="2"/>
        <charset val="186"/>
      </rPr>
      <t>The third component, in 2024, concentrated on the elaboration of the conditions and partnership agreements for the implementation of the activities of the component, as well as on the elaboration of a detailed action plan and budget for 2025. In addition, in collaboration with partner universities, the formulation of principles arising from the programme's theme has been undertaken: culturally responsive teaching (CRT) and language-aware subject instruction. The process of preparing the partnership agreement and its annexes between Estonian Education and Youth Board and the universities is underway. The draft regulation of  “Conditions and Procedure for the Use of Support under the Swiss-Estonian Cooperation Program 2022-2029,” is in its final stages. This regulation will provide clarity regarding the support and activities.
The planning of the partnership activities with the Swiss partner, Bern University of Applied Sciences, also took place.</t>
    </r>
  </si>
  <si>
    <t>Ministry of Finance of the Republic of Estonia</t>
  </si>
  <si>
    <t>EE891010220034796011</t>
  </si>
  <si>
    <t>EEUHEE2X</t>
  </si>
  <si>
    <t>SWIFT:</t>
  </si>
  <si>
    <t>Reference:</t>
  </si>
  <si>
    <t>SEB, Tornimäe 2, 15010 Tallinn, Estonia</t>
  </si>
  <si>
    <r>
      <t xml:space="preserve">Building civil society competence, raising public awareness and disseminating information on social innovation: </t>
    </r>
    <r>
      <rPr>
        <sz val="10"/>
        <color rgb="FF000000"/>
        <rFont val="Arial"/>
        <family val="2"/>
        <charset val="186"/>
      </rPr>
      <t xml:space="preserve">The primary focus of component 4 in 2024 was on personnel recruitment, the elaboration and enforcement of the conditions for the implementation of the activities of the component, and the elaboration of a detailed action plan and budget for 2025. Detailed processes of activities were prepared, including the mapping of relevant parties to be involved in various ways (including parties to be included in market researches for procurements). The preparatory phase for the procurements of services has been initiated. Project personnel participated at national and international social innovation-related events. </t>
    </r>
  </si>
  <si>
    <t>835 870</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</si>
  <si>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(iii) that all payments declared have actually been made in the indicated (or exceptionally previous) reporting period;
(iv) the compliance with state aid rules of all activities performed in the reporting period. 
</t>
    </r>
  </si>
  <si>
    <t>There is a deviation between the expenditures planned for this reporting period in the SM proposal and the actual expenditures paid by the NCU. This difference arises because, under national procedures, expenditures can only be submitted to the NCU for verification and payment after the conditions for implementing the Programme Component’s activities have been approved—either through a ministerial order or an agreement signed with the implementer. The conditions for all Programme Components will be officially approved at the beginning of 2025, after which the payment of incurred expenditures can start.
Another reason for the discrepancy is that advance payments made by the PO to the Swiss Partner cannot be declared to the NCU until they have been incurred in the accounting sense.</t>
  </si>
  <si>
    <r>
      <t xml:space="preserve">Swiss experts and partners:
</t>
    </r>
    <r>
      <rPr>
        <sz val="10"/>
        <color rgb="FF000000"/>
        <rFont val="Arial"/>
      </rPr>
      <t>The Partnership Agreement between the Programme Operator, the Ministry of Culture, and Bern University of Applied Sciences was signed on 24 September 2024. The agreement, valued at EUR 399,980.00, aims to enhance cooperation and bilateral relations between partners, Programme Component Operators and implementers through workshops, study trips, and other joint activities.
In 2024, kick-off meetings for joint planning and development took place in all components of the support measure. As a result, a comprehensive action plan for 2025 was developed.</t>
    </r>
  </si>
  <si>
    <r>
      <t xml:space="preserve">Activity 2: Inclusion of volunteers in the integration activities:                                                                                                 </t>
    </r>
    <r>
      <rPr>
        <sz val="10"/>
        <color rgb="FF000000"/>
        <rFont val="Arial"/>
        <family val="2"/>
        <charset val="186"/>
      </rPr>
      <t xml:space="preserve">2024 was primarly focused on organisational matters, e.g. recruitment of project manager, who joined the team in the last quarter of 2024.                                                                                                                                                                              
We conducted a thorough mapping of current situation and identifying key partners in different organizations. Our focus was setting the clear objectives and priorities. Several meeting was held to initiate co-operation and common understanding.                                                                                                                                                                              Also preparatory phase of procurement procedure has started.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</si>
</sst>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
    <numFmt numFmtId="166" formatCode="0.000"/>
  </numFmts>
  <fonts count="63">
    <font>
      <sz val="10"/>
      <name val="Arial"/>
      <charset val="186"/>
    </font>
    <font>
      <sz val="11"/>
      <color theme="1"/>
      <name val="Calibri"/>
      <family val="2"/>
      <charset val="186"/>
      <scheme val="minor"/>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u/>
      <sz val="10"/>
      <color theme="10"/>
      <name val="Arial"/>
      <family val="2"/>
      <charset val="186"/>
    </font>
    <font>
      <b/>
      <sz val="10"/>
      <color rgb="FF000000"/>
      <name val="Arial"/>
      <family val="2"/>
      <charset val="186"/>
    </font>
    <font>
      <sz val="10"/>
      <color rgb="FF000000"/>
      <name val="Arial"/>
      <family val="2"/>
      <charset val="186"/>
    </font>
    <font>
      <sz val="11"/>
      <color rgb="FF000000"/>
      <name val="Arial Narrow"/>
      <family val="2"/>
      <charset val="186"/>
    </font>
    <font>
      <b/>
      <sz val="10"/>
      <color rgb="FF000000"/>
      <name val="Arial"/>
    </font>
    <font>
      <sz val="10"/>
      <color rgb="FF000000"/>
      <name val="Arial"/>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FFF00"/>
        <bgColor indexed="64"/>
      </patternFill>
    </fill>
    <fill>
      <patternFill patternType="solid">
        <fgColor rgb="FFF2F8EE"/>
        <bgColor rgb="FF000000"/>
      </patternFill>
    </fill>
  </fills>
  <borders count="35">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52">
    <xf numFmtId="0" fontId="0" fillId="0" borderId="0"/>
    <xf numFmtId="0" fontId="13" fillId="0" borderId="0"/>
    <xf numFmtId="0" fontId="14" fillId="0" borderId="0"/>
    <xf numFmtId="0" fontId="10" fillId="0" borderId="0"/>
    <xf numFmtId="9" fontId="7" fillId="0" borderId="0" applyFont="0" applyFill="0" applyBorder="0" applyAlignment="0" applyProtection="0"/>
    <xf numFmtId="9" fontId="1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 fillId="0" borderId="0"/>
    <xf numFmtId="0" fontId="7"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3" fillId="0" borderId="0"/>
    <xf numFmtId="0" fontId="23" fillId="0" borderId="0"/>
    <xf numFmtId="0" fontId="40" fillId="0" borderId="0" applyNumberFormat="0" applyFill="0" applyBorder="0" applyAlignment="0" applyProtection="0"/>
    <xf numFmtId="0" fontId="1" fillId="0" borderId="0"/>
    <xf numFmtId="9" fontId="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57" fillId="0" borderId="0" applyNumberFormat="0" applyFill="0" applyBorder="0" applyAlignment="0" applyProtection="0"/>
  </cellStyleXfs>
  <cellXfs count="445">
    <xf numFmtId="0" fontId="0" fillId="0" borderId="0" xfId="0"/>
    <xf numFmtId="0" fontId="37" fillId="0" borderId="0" xfId="42" applyFont="1" applyAlignment="1">
      <alignment vertical="center"/>
    </xf>
    <xf numFmtId="0" fontId="3" fillId="0" borderId="0" xfId="42" applyAlignment="1">
      <alignment vertical="center"/>
    </xf>
    <xf numFmtId="0" fontId="38" fillId="0" borderId="0" xfId="42" applyFont="1" applyAlignment="1">
      <alignment vertical="center"/>
    </xf>
    <xf numFmtId="0" fontId="23" fillId="0" borderId="0" xfId="42" applyFont="1" applyAlignment="1">
      <alignment vertical="center"/>
    </xf>
    <xf numFmtId="0" fontId="37" fillId="0" borderId="0" xfId="42" applyFont="1" applyAlignment="1">
      <alignment horizontal="left" vertical="center"/>
    </xf>
    <xf numFmtId="2" fontId="23" fillId="7" borderId="8" xfId="0" applyNumberFormat="1" applyFont="1" applyFill="1" applyBorder="1" applyAlignment="1">
      <alignment horizontal="left" vertical="center" wrapText="1"/>
    </xf>
    <xf numFmtId="0" fontId="23" fillId="0" borderId="0" xfId="42" applyFont="1" applyAlignment="1">
      <alignment horizontal="left" vertical="center"/>
    </xf>
    <xf numFmtId="4" fontId="0" fillId="0" borderId="0" xfId="0" applyNumberFormat="1"/>
    <xf numFmtId="0" fontId="23" fillId="0" borderId="0" xfId="0" applyFont="1"/>
    <xf numFmtId="10" fontId="0" fillId="0" borderId="0" xfId="0" applyNumberFormat="1" applyAlignment="1">
      <alignment horizontal="left"/>
    </xf>
    <xf numFmtId="0" fontId="0" fillId="0" borderId="0" xfId="0" applyAlignment="1">
      <alignment horizontal="left"/>
    </xf>
    <xf numFmtId="0" fontId="26"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3" fillId="0" borderId="8" xfId="37" applyFont="1" applyBorder="1" applyAlignment="1" applyProtection="1">
      <alignment horizontal="left" vertical="top" wrapText="1"/>
      <protection locked="0"/>
    </xf>
    <xf numFmtId="4" fontId="0" fillId="0" borderId="0" xfId="0" applyNumberFormat="1" applyProtection="1">
      <protection locked="0"/>
    </xf>
    <xf numFmtId="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4" fontId="9" fillId="0" borderId="0" xfId="0" applyNumberFormat="1" applyFont="1" applyAlignment="1" applyProtection="1">
      <alignment horizontal="center" wrapText="1"/>
      <protection locked="0"/>
    </xf>
    <xf numFmtId="2" fontId="9" fillId="0" borderId="0" xfId="0" applyNumberFormat="1" applyFont="1" applyAlignment="1" applyProtection="1">
      <alignment horizontal="center" wrapText="1"/>
      <protection locked="0"/>
    </xf>
    <xf numFmtId="4" fontId="9" fillId="0" borderId="0" xfId="0" applyNumberFormat="1" applyFont="1" applyProtection="1">
      <protection locked="0"/>
    </xf>
    <xf numFmtId="0" fontId="9" fillId="0" borderId="0" xfId="0" applyFont="1" applyProtection="1">
      <protection locked="0"/>
    </xf>
    <xf numFmtId="10" fontId="9" fillId="0" borderId="0" xfId="0" applyNumberFormat="1" applyFont="1" applyProtection="1">
      <protection locked="0"/>
    </xf>
    <xf numFmtId="4" fontId="9" fillId="0" borderId="0" xfId="0" applyNumberFormat="1" applyFont="1" applyAlignment="1" applyProtection="1">
      <alignment wrapText="1"/>
      <protection locked="0"/>
    </xf>
    <xf numFmtId="0" fontId="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Protection="1">
      <protection locked="0"/>
    </xf>
    <xf numFmtId="0" fontId="25" fillId="0" borderId="0" xfId="0" applyFont="1" applyAlignment="1" applyProtection="1">
      <alignment horizontal="left"/>
      <protection locked="0"/>
    </xf>
    <xf numFmtId="0" fontId="25" fillId="4" borderId="0" xfId="0" applyFont="1" applyFill="1" applyProtection="1">
      <protection locked="0"/>
    </xf>
    <xf numFmtId="0" fontId="38" fillId="0" borderId="0" xfId="0" applyFont="1" applyAlignment="1" applyProtection="1">
      <alignment vertical="center"/>
      <protection locked="0"/>
    </xf>
    <xf numFmtId="0" fontId="25" fillId="0" borderId="0" xfId="0" applyFont="1"/>
    <xf numFmtId="0" fontId="24" fillId="3" borderId="8" xfId="0" applyFont="1" applyFill="1" applyBorder="1" applyAlignment="1">
      <alignment horizontal="center" vertical="center" wrapText="1"/>
    </xf>
    <xf numFmtId="4" fontId="24" fillId="2" borderId="8" xfId="0" applyNumberFormat="1" applyFont="1" applyFill="1" applyBorder="1" applyAlignment="1">
      <alignment horizontal="center" vertical="center"/>
    </xf>
    <xf numFmtId="4" fontId="24" fillId="0" borderId="8" xfId="0" applyNumberFormat="1" applyFont="1" applyBorder="1" applyAlignment="1">
      <alignment horizontal="center" vertical="center" wrapText="1"/>
    </xf>
    <xf numFmtId="1" fontId="23" fillId="0" borderId="8" xfId="0" applyNumberFormat="1" applyFont="1" applyBorder="1" applyAlignment="1">
      <alignment horizontal="center" vertical="center"/>
    </xf>
    <xf numFmtId="0" fontId="42" fillId="0" borderId="0" xfId="0" applyFont="1" applyProtection="1">
      <protection locked="0"/>
    </xf>
    <xf numFmtId="4" fontId="0" fillId="3" borderId="0" xfId="0" applyNumberFormat="1" applyFill="1"/>
    <xf numFmtId="0" fontId="0" fillId="3" borderId="0" xfId="0" applyFill="1"/>
    <xf numFmtId="4" fontId="23" fillId="0" borderId="0" xfId="0" applyNumberFormat="1" applyFont="1"/>
    <xf numFmtId="0" fontId="38" fillId="0" borderId="0" xfId="0" applyFont="1" applyAlignment="1">
      <alignment horizontal="left" vertical="center"/>
    </xf>
    <xf numFmtId="0" fontId="25" fillId="3" borderId="0" xfId="0" applyFont="1" applyFill="1" applyProtection="1">
      <protection locked="0"/>
    </xf>
    <xf numFmtId="0" fontId="25" fillId="3" borderId="0" xfId="0" applyFont="1" applyFill="1" applyAlignment="1" applyProtection="1">
      <alignment horizontal="left"/>
      <protection locked="0"/>
    </xf>
    <xf numFmtId="49" fontId="20" fillId="6" borderId="0" xfId="0" applyNumberFormat="1" applyFont="1" applyFill="1" applyAlignment="1">
      <alignment horizontal="left"/>
    </xf>
    <xf numFmtId="0" fontId="7" fillId="0" borderId="0" xfId="37" applyProtection="1">
      <protection locked="0"/>
    </xf>
    <xf numFmtId="0" fontId="7" fillId="0" borderId="0" xfId="37" applyAlignment="1" applyProtection="1">
      <alignment wrapText="1"/>
      <protection locked="0"/>
    </xf>
    <xf numFmtId="49" fontId="20" fillId="6" borderId="0" xfId="0" applyNumberFormat="1" applyFont="1" applyFill="1" applyAlignment="1" applyProtection="1">
      <alignment horizontal="left"/>
      <protection locked="0"/>
    </xf>
    <xf numFmtId="0" fontId="25" fillId="6" borderId="0" xfId="0" applyFont="1" applyFill="1"/>
    <xf numFmtId="0" fontId="26" fillId="5" borderId="7" xfId="37" applyFont="1" applyFill="1" applyBorder="1" applyAlignment="1" applyProtection="1">
      <alignment horizontal="right" vertical="top" wrapText="1"/>
      <protection locked="0"/>
    </xf>
    <xf numFmtId="0" fontId="24" fillId="5" borderId="14" xfId="0" applyFont="1" applyFill="1" applyBorder="1" applyAlignment="1">
      <alignment horizontal="left" vertical="center" wrapText="1"/>
    </xf>
    <xf numFmtId="4" fontId="24" fillId="5" borderId="14" xfId="0" applyNumberFormat="1" applyFont="1" applyFill="1" applyBorder="1" applyAlignment="1">
      <alignment horizontal="left" vertical="center" wrapText="1"/>
    </xf>
    <xf numFmtId="0" fontId="43" fillId="5" borderId="7" xfId="0" applyFont="1" applyFill="1" applyBorder="1" applyAlignment="1">
      <alignment horizontal="left" vertical="top" wrapText="1"/>
    </xf>
    <xf numFmtId="4" fontId="43" fillId="5" borderId="7" xfId="0" applyNumberFormat="1" applyFont="1" applyFill="1" applyBorder="1" applyAlignment="1">
      <alignment horizontal="left" vertical="top" wrapText="1"/>
    </xf>
    <xf numFmtId="4" fontId="43" fillId="5" borderId="2" xfId="0" applyNumberFormat="1" applyFont="1" applyFill="1" applyBorder="1" applyAlignment="1">
      <alignment horizontal="left" vertical="top" wrapText="1"/>
    </xf>
    <xf numFmtId="4" fontId="43" fillId="5" borderId="5" xfId="0" applyNumberFormat="1" applyFont="1" applyFill="1" applyBorder="1" applyAlignment="1">
      <alignment horizontal="left" vertical="top" wrapText="1"/>
    </xf>
    <xf numFmtId="2" fontId="12" fillId="7" borderId="8" xfId="0" applyNumberFormat="1" applyFont="1" applyFill="1" applyBorder="1" applyAlignment="1">
      <alignment horizontal="center" vertical="center" wrapText="1"/>
    </xf>
    <xf numFmtId="2" fontId="12" fillId="5" borderId="8" xfId="0" applyNumberFormat="1" applyFont="1" applyFill="1" applyBorder="1" applyAlignment="1">
      <alignment horizontal="center" vertical="center" wrapText="1"/>
    </xf>
    <xf numFmtId="4" fontId="18" fillId="0" borderId="8" xfId="0" applyNumberFormat="1" applyFont="1" applyBorder="1"/>
    <xf numFmtId="10" fontId="18" fillId="0" borderId="8" xfId="4" applyNumberFormat="1" applyFont="1" applyBorder="1"/>
    <xf numFmtId="4" fontId="40" fillId="8" borderId="8" xfId="44" applyNumberFormat="1" applyFill="1" applyBorder="1" applyAlignment="1">
      <alignment horizontal="right" wrapText="1"/>
    </xf>
    <xf numFmtId="10" fontId="21" fillId="0" borderId="8" xfId="4" applyNumberFormat="1" applyFont="1" applyBorder="1"/>
    <xf numFmtId="0" fontId="23" fillId="0" borderId="11" xfId="0" applyFont="1" applyBorder="1" applyAlignment="1">
      <alignment horizontal="left" wrapText="1"/>
    </xf>
    <xf numFmtId="0" fontId="23" fillId="0" borderId="4" xfId="0" applyFont="1" applyBorder="1" applyAlignment="1">
      <alignment horizontal="left" wrapText="1"/>
    </xf>
    <xf numFmtId="0" fontId="23" fillId="0" borderId="0" xfId="0" applyFont="1" applyAlignment="1">
      <alignment horizontal="left"/>
    </xf>
    <xf numFmtId="0" fontId="0" fillId="0" borderId="6" xfId="0" applyBorder="1" applyAlignment="1">
      <alignment horizontal="left"/>
    </xf>
    <xf numFmtId="4" fontId="23" fillId="0" borderId="10" xfId="0" applyNumberFormat="1" applyFont="1" applyBorder="1"/>
    <xf numFmtId="0" fontId="23" fillId="0" borderId="13" xfId="0" applyFont="1" applyBorder="1" applyAlignment="1">
      <alignment horizontal="center" vertical="center" wrapText="1"/>
    </xf>
    <xf numFmtId="4" fontId="23" fillId="0" borderId="9" xfId="0" applyNumberFormat="1" applyFont="1" applyBorder="1" applyAlignment="1">
      <alignment horizontal="center" wrapText="1"/>
    </xf>
    <xf numFmtId="0" fontId="23" fillId="0" borderId="10" xfId="0" applyFont="1" applyBorder="1"/>
    <xf numFmtId="0" fontId="26" fillId="3" borderId="10" xfId="0" applyFont="1" applyFill="1" applyBorder="1"/>
    <xf numFmtId="0" fontId="26" fillId="3" borderId="13" xfId="0" applyFont="1" applyFill="1" applyBorder="1" applyAlignment="1">
      <alignment horizontal="center" vertical="center" wrapText="1"/>
    </xf>
    <xf numFmtId="4" fontId="26" fillId="3" borderId="9" xfId="0" applyNumberFormat="1" applyFont="1" applyFill="1" applyBorder="1" applyAlignment="1">
      <alignment horizontal="center" wrapText="1"/>
    </xf>
    <xf numFmtId="4" fontId="23" fillId="3" borderId="9" xfId="0" applyNumberFormat="1" applyFont="1" applyFill="1" applyBorder="1" applyAlignment="1">
      <alignment horizontal="center" wrapText="1"/>
    </xf>
    <xf numFmtId="0" fontId="23" fillId="3" borderId="10" xfId="0" applyFont="1" applyFill="1" applyBorder="1"/>
    <xf numFmtId="0" fontId="23" fillId="0" borderId="0" xfId="0" applyFont="1" applyAlignment="1">
      <alignment wrapText="1"/>
    </xf>
    <xf numFmtId="0" fontId="23" fillId="0" borderId="0" xfId="0" applyFont="1" applyAlignment="1">
      <alignment horizontal="left" wrapText="1"/>
    </xf>
    <xf numFmtId="4" fontId="23" fillId="0" borderId="0" xfId="0" applyNumberFormat="1" applyFont="1" applyAlignment="1">
      <alignment horizontal="left"/>
    </xf>
    <xf numFmtId="0" fontId="23" fillId="0" borderId="11" xfId="0" applyFont="1" applyBorder="1"/>
    <xf numFmtId="0" fontId="23" fillId="0" borderId="10" xfId="0" applyFont="1" applyBorder="1" applyAlignment="1">
      <alignment vertical="center"/>
    </xf>
    <xf numFmtId="0" fontId="28" fillId="2" borderId="10" xfId="0" applyFont="1" applyFill="1" applyBorder="1"/>
    <xf numFmtId="0" fontId="28" fillId="2" borderId="13" xfId="0" applyFont="1" applyFill="1" applyBorder="1"/>
    <xf numFmtId="0" fontId="28" fillId="2" borderId="9" xfId="0" applyFont="1" applyFill="1" applyBorder="1"/>
    <xf numFmtId="0" fontId="23" fillId="0" borderId="1" xfId="0" applyFont="1" applyBorder="1" applyAlignment="1">
      <alignment horizontal="left" wrapText="1"/>
    </xf>
    <xf numFmtId="0" fontId="23" fillId="0" borderId="12" xfId="0" applyFont="1" applyBorder="1" applyAlignment="1">
      <alignment horizontal="left" wrapText="1"/>
    </xf>
    <xf numFmtId="14" fontId="23" fillId="3" borderId="13" xfId="0" applyNumberFormat="1" applyFont="1" applyFill="1" applyBorder="1" applyAlignment="1">
      <alignment horizontal="left"/>
    </xf>
    <xf numFmtId="14" fontId="26" fillId="3" borderId="13" xfId="0" applyNumberFormat="1" applyFont="1" applyFill="1" applyBorder="1" applyAlignment="1">
      <alignment horizontal="left"/>
    </xf>
    <xf numFmtId="0" fontId="26" fillId="3" borderId="10" xfId="0" applyFont="1" applyFill="1" applyBorder="1" applyAlignment="1">
      <alignment horizontal="left"/>
    </xf>
    <xf numFmtId="0" fontId="23" fillId="3" borderId="10" xfId="0" applyFont="1" applyFill="1" applyBorder="1" applyAlignment="1">
      <alignment horizontal="left"/>
    </xf>
    <xf numFmtId="0" fontId="23" fillId="3" borderId="14" xfId="0" applyFont="1" applyFill="1" applyBorder="1" applyAlignment="1">
      <alignment horizontal="left" vertical="center" wrapText="1"/>
    </xf>
    <xf numFmtId="0" fontId="23" fillId="3" borderId="8" xfId="0" applyFont="1" applyFill="1" applyBorder="1" applyAlignment="1">
      <alignment horizontal="left" wrapText="1"/>
    </xf>
    <xf numFmtId="0" fontId="23" fillId="3" borderId="14" xfId="0" applyFont="1" applyFill="1" applyBorder="1" applyAlignment="1">
      <alignment horizontal="left" wrapText="1"/>
    </xf>
    <xf numFmtId="0" fontId="23" fillId="3" borderId="8" xfId="0" applyFont="1" applyFill="1" applyBorder="1"/>
    <xf numFmtId="0" fontId="26" fillId="3" borderId="14" xfId="0" applyFont="1" applyFill="1" applyBorder="1" applyAlignment="1">
      <alignment horizontal="left" wrapText="1"/>
    </xf>
    <xf numFmtId="0" fontId="23" fillId="3" borderId="13" xfId="0" applyFont="1" applyFill="1" applyBorder="1" applyAlignment="1">
      <alignment horizontal="left" vertical="center" wrapText="1"/>
    </xf>
    <xf numFmtId="3" fontId="23" fillId="3" borderId="13" xfId="0" applyNumberFormat="1" applyFont="1" applyFill="1" applyBorder="1" applyAlignment="1">
      <alignment horizontal="left" wrapText="1"/>
    </xf>
    <xf numFmtId="4" fontId="0" fillId="3" borderId="9" xfId="0" applyNumberFormat="1" applyFill="1" applyBorder="1"/>
    <xf numFmtId="0" fontId="23" fillId="3" borderId="10" xfId="0" applyFont="1" applyFill="1" applyBorder="1" applyAlignment="1">
      <alignment horizontal="left" wrapText="1"/>
    </xf>
    <xf numFmtId="2" fontId="12" fillId="7" borderId="10" xfId="0" applyNumberFormat="1" applyFont="1" applyFill="1" applyBorder="1" applyAlignment="1">
      <alignment horizontal="center" vertical="center" wrapText="1"/>
    </xf>
    <xf numFmtId="2" fontId="12" fillId="7" borderId="13" xfId="0" applyNumberFormat="1" applyFont="1" applyFill="1" applyBorder="1" applyAlignment="1">
      <alignment horizontal="left" vertical="center" wrapText="1"/>
    </xf>
    <xf numFmtId="2" fontId="12" fillId="9" borderId="13" xfId="0" applyNumberFormat="1" applyFont="1" applyFill="1" applyBorder="1" applyAlignment="1">
      <alignment horizontal="center" vertical="center" wrapText="1"/>
    </xf>
    <xf numFmtId="0" fontId="30" fillId="10" borderId="15" xfId="0" applyFont="1" applyFill="1" applyBorder="1" applyProtection="1">
      <protection locked="0"/>
    </xf>
    <xf numFmtId="0" fontId="30" fillId="10" borderId="0" xfId="0" applyFont="1" applyFill="1" applyProtection="1">
      <protection locked="0"/>
    </xf>
    <xf numFmtId="0" fontId="30" fillId="11" borderId="0" xfId="0" applyFont="1" applyFill="1" applyProtection="1">
      <protection locked="0"/>
    </xf>
    <xf numFmtId="4" fontId="24" fillId="10" borderId="16" xfId="0" applyNumberFormat="1" applyFont="1" applyFill="1" applyBorder="1" applyAlignment="1">
      <alignment horizontal="left" vertical="center" wrapText="1"/>
    </xf>
    <xf numFmtId="4" fontId="24" fillId="10" borderId="14" xfId="0" applyNumberFormat="1" applyFont="1" applyFill="1" applyBorder="1" applyAlignment="1">
      <alignment horizontal="left" vertical="center" wrapText="1"/>
    </xf>
    <xf numFmtId="4" fontId="43" fillId="10" borderId="17" xfId="0" applyNumberFormat="1" applyFont="1" applyFill="1" applyBorder="1" applyAlignment="1">
      <alignment horizontal="left" vertical="top" wrapText="1"/>
    </xf>
    <xf numFmtId="0" fontId="25" fillId="0" borderId="18" xfId="0" applyFont="1" applyBorder="1" applyAlignment="1" applyProtection="1">
      <alignment wrapText="1"/>
      <protection locked="0"/>
    </xf>
    <xf numFmtId="0" fontId="25" fillId="0" borderId="8" xfId="0" applyFont="1" applyBorder="1" applyAlignment="1" applyProtection="1">
      <alignment wrapText="1"/>
      <protection locked="0"/>
    </xf>
    <xf numFmtId="4" fontId="43" fillId="10" borderId="7" xfId="0" applyNumberFormat="1" applyFont="1" applyFill="1" applyBorder="1" applyAlignment="1">
      <alignment horizontal="left" vertical="top" wrapText="1"/>
    </xf>
    <xf numFmtId="4" fontId="47" fillId="5" borderId="14" xfId="0" applyNumberFormat="1" applyFont="1" applyFill="1" applyBorder="1" applyAlignment="1">
      <alignment horizontal="left" vertical="center" wrapText="1"/>
    </xf>
    <xf numFmtId="2" fontId="23" fillId="0" borderId="13" xfId="0" applyNumberFormat="1" applyFont="1" applyBorder="1" applyAlignment="1">
      <alignment horizontal="center" vertical="center" wrapText="1"/>
    </xf>
    <xf numFmtId="0" fontId="23" fillId="0" borderId="10" xfId="0" applyFont="1" applyBorder="1" applyAlignment="1" applyProtection="1">
      <alignment horizontal="left" wrapText="1"/>
      <protection locked="0"/>
    </xf>
    <xf numFmtId="0" fontId="23" fillId="0" borderId="4" xfId="0" applyFont="1" applyBorder="1" applyAlignment="1" applyProtection="1">
      <alignment horizontal="left" wrapText="1"/>
      <protection locked="0"/>
    </xf>
    <xf numFmtId="0" fontId="23" fillId="0" borderId="11" xfId="0" applyFont="1" applyBorder="1" applyAlignment="1" applyProtection="1">
      <alignment horizontal="left" wrapText="1"/>
      <protection locked="0"/>
    </xf>
    <xf numFmtId="0" fontId="23" fillId="0" borderId="11" xfId="0" applyFont="1" applyBorder="1" applyProtection="1">
      <protection locked="0"/>
    </xf>
    <xf numFmtId="0" fontId="23" fillId="0" borderId="10" xfId="0" applyFont="1" applyBorder="1" applyAlignment="1" applyProtection="1">
      <alignment vertical="center"/>
      <protection locked="0"/>
    </xf>
    <xf numFmtId="0" fontId="23" fillId="0" borderId="13" xfId="0" applyFont="1" applyBorder="1" applyAlignment="1" applyProtection="1">
      <alignment horizontal="left"/>
      <protection locked="0"/>
    </xf>
    <xf numFmtId="0" fontId="23" fillId="0" borderId="9" xfId="0" applyFont="1" applyBorder="1" applyAlignment="1" applyProtection="1">
      <alignment horizontal="left"/>
      <protection locked="0"/>
    </xf>
    <xf numFmtId="0" fontId="26" fillId="0" borderId="0" xfId="0" applyFont="1" applyProtection="1">
      <protection locked="0"/>
    </xf>
    <xf numFmtId="0" fontId="26" fillId="0" borderId="6" xfId="0" applyFont="1" applyBorder="1" applyProtection="1">
      <protection locked="0"/>
    </xf>
    <xf numFmtId="0" fontId="26" fillId="0" borderId="0" xfId="0" applyFont="1" applyAlignment="1" applyProtection="1">
      <alignment horizontal="center"/>
      <protection locked="0"/>
    </xf>
    <xf numFmtId="0" fontId="26" fillId="0" borderId="6" xfId="0" applyFont="1" applyBorder="1" applyAlignment="1" applyProtection="1">
      <alignment horizontal="center"/>
      <protection locked="0"/>
    </xf>
    <xf numFmtId="0" fontId="26" fillId="0" borderId="0" xfId="0" applyFont="1" applyAlignment="1" applyProtection="1">
      <alignment horizontal="left"/>
      <protection locked="0"/>
    </xf>
    <xf numFmtId="4" fontId="26" fillId="0" borderId="0" xfId="0" applyNumberFormat="1" applyFont="1" applyAlignment="1" applyProtection="1">
      <alignment horizontal="center"/>
      <protection locked="0"/>
    </xf>
    <xf numFmtId="4" fontId="26" fillId="0" borderId="6" xfId="0" applyNumberFormat="1" applyFont="1" applyBorder="1" applyAlignment="1" applyProtection="1">
      <alignment horizontal="center"/>
      <protection locked="0"/>
    </xf>
    <xf numFmtId="0" fontId="26" fillId="3" borderId="11" xfId="0" applyFont="1" applyFill="1" applyBorder="1" applyAlignment="1">
      <alignment horizontal="left" wrapText="1"/>
    </xf>
    <xf numFmtId="0" fontId="23" fillId="3" borderId="9" xfId="0" applyFont="1" applyFill="1" applyBorder="1" applyAlignment="1">
      <alignment horizontal="left"/>
    </xf>
    <xf numFmtId="0" fontId="25" fillId="0" borderId="8" xfId="0" applyFont="1" applyBorder="1"/>
    <xf numFmtId="4" fontId="25" fillId="0" borderId="8" xfId="0" applyNumberFormat="1" applyFont="1" applyBorder="1"/>
    <xf numFmtId="2" fontId="12" fillId="5" borderId="10" xfId="0" applyNumberFormat="1" applyFont="1" applyFill="1" applyBorder="1" applyAlignment="1">
      <alignment horizontal="center" vertical="center" wrapText="1"/>
    </xf>
    <xf numFmtId="4" fontId="18" fillId="0" borderId="10" xfId="0" applyNumberFormat="1" applyFont="1" applyBorder="1"/>
    <xf numFmtId="4" fontId="21" fillId="0" borderId="10" xfId="0" applyNumberFormat="1" applyFont="1" applyBorder="1"/>
    <xf numFmtId="2" fontId="12" fillId="9" borderId="19" xfId="0" applyNumberFormat="1" applyFont="1" applyFill="1" applyBorder="1" applyAlignment="1">
      <alignment horizontal="center" vertical="center" wrapText="1"/>
    </xf>
    <xf numFmtId="0" fontId="12" fillId="5" borderId="18" xfId="0" applyFont="1" applyFill="1" applyBorder="1" applyAlignment="1">
      <alignment horizontal="center" vertical="center" wrapText="1"/>
    </xf>
    <xf numFmtId="2" fontId="12" fillId="5" borderId="22" xfId="0" applyNumberFormat="1" applyFont="1" applyFill="1" applyBorder="1" applyAlignment="1">
      <alignment horizontal="center" vertical="center" wrapText="1"/>
    </xf>
    <xf numFmtId="0" fontId="12" fillId="9" borderId="20" xfId="0" applyFont="1" applyFill="1" applyBorder="1" applyAlignment="1">
      <alignment horizontal="center" vertical="center" wrapText="1"/>
    </xf>
    <xf numFmtId="2" fontId="12" fillId="9" borderId="21" xfId="0" applyNumberFormat="1" applyFont="1" applyFill="1" applyBorder="1" applyAlignment="1">
      <alignment horizontal="center" vertical="center" wrapText="1"/>
    </xf>
    <xf numFmtId="4" fontId="18" fillId="0" borderId="18" xfId="0" applyNumberFormat="1" applyFont="1" applyBorder="1"/>
    <xf numFmtId="4" fontId="18" fillId="0" borderId="22" xfId="0" applyNumberFormat="1" applyFont="1" applyBorder="1"/>
    <xf numFmtId="4" fontId="21" fillId="0" borderId="18" xfId="0" applyNumberFormat="1" applyFont="1" applyBorder="1"/>
    <xf numFmtId="4" fontId="40" fillId="8" borderId="22" xfId="44" applyNumberFormat="1" applyFill="1" applyBorder="1" applyAlignment="1">
      <alignment horizontal="right" wrapText="1"/>
    </xf>
    <xf numFmtId="2" fontId="12" fillId="7" borderId="18"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4" fontId="18" fillId="0" borderId="27" xfId="0" applyNumberFormat="1" applyFont="1" applyBorder="1"/>
    <xf numFmtId="4" fontId="18" fillId="0" borderId="28" xfId="0" applyNumberFormat="1" applyFont="1" applyBorder="1"/>
    <xf numFmtId="4" fontId="18" fillId="0" borderId="29" xfId="0" applyNumberFormat="1" applyFont="1" applyBorder="1"/>
    <xf numFmtId="10" fontId="18" fillId="0" borderId="28" xfId="4" applyNumberFormat="1" applyFont="1" applyBorder="1"/>
    <xf numFmtId="10" fontId="18" fillId="0" borderId="30" xfId="4" applyNumberFormat="1" applyFont="1" applyBorder="1"/>
    <xf numFmtId="4" fontId="18" fillId="0" borderId="31" xfId="0" applyNumberFormat="1" applyFont="1" applyBorder="1"/>
    <xf numFmtId="4" fontId="18" fillId="0" borderId="32" xfId="0" applyNumberFormat="1" applyFont="1" applyBorder="1"/>
    <xf numFmtId="164" fontId="45" fillId="7" borderId="33" xfId="0" applyNumberFormat="1" applyFont="1" applyFill="1" applyBorder="1" applyAlignment="1">
      <alignment horizontal="center" vertical="center" wrapText="1"/>
    </xf>
    <xf numFmtId="164" fontId="45" fillId="7" borderId="2" xfId="0" applyNumberFormat="1" applyFont="1" applyFill="1" applyBorder="1" applyAlignment="1">
      <alignment horizontal="center" vertical="center" wrapText="1"/>
    </xf>
    <xf numFmtId="10" fontId="40" fillId="8" borderId="10" xfId="44" applyNumberFormat="1" applyFill="1" applyBorder="1" applyAlignment="1">
      <alignment horizontal="right" wrapText="1"/>
    </xf>
    <xf numFmtId="10" fontId="18" fillId="0" borderId="29" xfId="0" applyNumberFormat="1" applyFont="1" applyBorder="1"/>
    <xf numFmtId="0" fontId="0" fillId="7" borderId="13" xfId="0" applyFill="1" applyBorder="1" applyAlignment="1">
      <alignment horizontal="center" vertical="center" wrapText="1"/>
    </xf>
    <xf numFmtId="0" fontId="0" fillId="6" borderId="0" xfId="0" applyFill="1"/>
    <xf numFmtId="0" fontId="26" fillId="6" borderId="0" xfId="0" applyFont="1" applyFill="1" applyAlignment="1">
      <alignment horizontal="right" wrapText="1"/>
    </xf>
    <xf numFmtId="10" fontId="23" fillId="3" borderId="12" xfId="0" applyNumberFormat="1" applyFont="1" applyFill="1" applyBorder="1" applyAlignment="1">
      <alignment horizontal="left"/>
    </xf>
    <xf numFmtId="49" fontId="22" fillId="3" borderId="15" xfId="0" applyNumberFormat="1" applyFont="1" applyFill="1" applyBorder="1" applyAlignment="1" applyProtection="1">
      <alignment horizontal="left" vertical="top"/>
      <protection locked="0"/>
    </xf>
    <xf numFmtId="49" fontId="22" fillId="3" borderId="0" xfId="0" applyNumberFormat="1" applyFont="1" applyFill="1" applyAlignment="1" applyProtection="1">
      <alignment horizontal="left" vertical="top"/>
      <protection locked="0"/>
    </xf>
    <xf numFmtId="49" fontId="0" fillId="0" borderId="0" xfId="0" applyNumberFormat="1"/>
    <xf numFmtId="49" fontId="23" fillId="0" borderId="0" xfId="0" applyNumberFormat="1" applyFont="1"/>
    <xf numFmtId="49" fontId="22" fillId="0" borderId="3" xfId="0" applyNumberFormat="1" applyFont="1" applyBorder="1" applyAlignment="1" applyProtection="1">
      <alignment horizontal="left" vertical="top"/>
      <protection locked="0"/>
    </xf>
    <xf numFmtId="49" fontId="21" fillId="0" borderId="18" xfId="0" applyNumberFormat="1" applyFont="1" applyBorder="1"/>
    <xf numFmtId="49" fontId="11" fillId="0" borderId="3" xfId="0" applyNumberFormat="1" applyFont="1" applyBorder="1" applyProtection="1">
      <protection locked="0"/>
    </xf>
    <xf numFmtId="2" fontId="48" fillId="12" borderId="8" xfId="0" applyNumberFormat="1" applyFont="1" applyFill="1" applyBorder="1" applyAlignment="1" applyProtection="1">
      <alignment horizontal="center" vertical="center" wrapText="1"/>
      <protection locked="0"/>
    </xf>
    <xf numFmtId="0" fontId="23" fillId="12" borderId="10" xfId="0" applyFont="1" applyFill="1" applyBorder="1" applyAlignment="1" applyProtection="1">
      <alignment horizontal="left"/>
      <protection locked="0"/>
    </xf>
    <xf numFmtId="0" fontId="18" fillId="12" borderId="18" xfId="0" applyFont="1" applyFill="1" applyBorder="1" applyAlignment="1" applyProtection="1">
      <alignment vertical="top" wrapText="1"/>
      <protection locked="0"/>
    </xf>
    <xf numFmtId="0" fontId="18" fillId="12" borderId="8" xfId="0" applyFont="1" applyFill="1" applyBorder="1" applyAlignment="1" applyProtection="1">
      <alignment vertical="top" wrapText="1"/>
      <protection locked="0"/>
    </xf>
    <xf numFmtId="0" fontId="21" fillId="12" borderId="18" xfId="0" applyFont="1" applyFill="1" applyBorder="1" applyAlignment="1" applyProtection="1">
      <alignment vertical="top" wrapText="1"/>
      <protection locked="0"/>
    </xf>
    <xf numFmtId="0" fontId="21" fillId="12" borderId="8" xfId="0" applyFont="1" applyFill="1" applyBorder="1" applyAlignment="1" applyProtection="1">
      <alignment vertical="top" wrapText="1"/>
      <protection locked="0"/>
    </xf>
    <xf numFmtId="4" fontId="21" fillId="12" borderId="8" xfId="0" applyNumberFormat="1" applyFont="1" applyFill="1" applyBorder="1" applyProtection="1">
      <protection locked="0"/>
    </xf>
    <xf numFmtId="10" fontId="18" fillId="12" borderId="10" xfId="0" applyNumberFormat="1" applyFont="1" applyFill="1" applyBorder="1" applyProtection="1">
      <protection locked="0"/>
    </xf>
    <xf numFmtId="0" fontId="25" fillId="12" borderId="8" xfId="0" applyFont="1" applyFill="1" applyBorder="1" applyProtection="1">
      <protection locked="0"/>
    </xf>
    <xf numFmtId="165" fontId="25" fillId="12" borderId="8" xfId="0" applyNumberFormat="1" applyFont="1" applyFill="1" applyBorder="1" applyProtection="1">
      <protection locked="0"/>
    </xf>
    <xf numFmtId="49" fontId="49" fillId="6" borderId="15" xfId="0" applyNumberFormat="1" applyFont="1" applyFill="1" applyBorder="1" applyAlignment="1" applyProtection="1">
      <alignment horizontal="left"/>
      <protection locked="0"/>
    </xf>
    <xf numFmtId="2" fontId="23" fillId="0" borderId="8" xfId="0" applyNumberFormat="1" applyFont="1" applyBorder="1" applyAlignment="1">
      <alignment horizontal="left" vertical="center" wrapText="1"/>
    </xf>
    <xf numFmtId="2" fontId="23" fillId="12" borderId="8" xfId="0" applyNumberFormat="1" applyFont="1" applyFill="1" applyBorder="1" applyAlignment="1" applyProtection="1">
      <alignment horizontal="left" vertical="center" wrapText="1"/>
      <protection locked="0"/>
    </xf>
    <xf numFmtId="2" fontId="23" fillId="12" borderId="8" xfId="0" applyNumberFormat="1" applyFont="1" applyFill="1" applyBorder="1" applyAlignment="1">
      <alignment horizontal="left" vertical="center" wrapText="1"/>
    </xf>
    <xf numFmtId="0" fontId="35" fillId="5" borderId="8" xfId="0" applyFont="1" applyFill="1" applyBorder="1" applyAlignment="1">
      <alignment horizontal="left" vertical="center" wrapText="1"/>
    </xf>
    <xf numFmtId="4" fontId="35" fillId="5" borderId="8" xfId="0" applyNumberFormat="1" applyFont="1" applyFill="1" applyBorder="1" applyAlignment="1">
      <alignment horizontal="left" vertical="center" wrapText="1"/>
    </xf>
    <xf numFmtId="0" fontId="35" fillId="5" borderId="8" xfId="43" applyFont="1" applyFill="1" applyBorder="1" applyAlignment="1">
      <alignment horizontal="left" vertical="center" wrapText="1"/>
    </xf>
    <xf numFmtId="166" fontId="12" fillId="12" borderId="2" xfId="0" applyNumberFormat="1" applyFont="1" applyFill="1" applyBorder="1" applyAlignment="1" applyProtection="1">
      <alignment horizontal="center" vertical="center" wrapText="1"/>
      <protection locked="0"/>
    </xf>
    <xf numFmtId="4" fontId="23" fillId="0" borderId="8" xfId="0" applyNumberFormat="1" applyFont="1" applyBorder="1" applyAlignment="1">
      <alignment horizontal="left" vertical="center" wrapText="1"/>
    </xf>
    <xf numFmtId="4" fontId="18" fillId="0" borderId="0" xfId="0" applyNumberFormat="1" applyFont="1"/>
    <xf numFmtId="10" fontId="18" fillId="0" borderId="0" xfId="0" applyNumberFormat="1" applyFont="1"/>
    <xf numFmtId="4" fontId="46" fillId="0" borderId="0" xfId="0" applyNumberFormat="1" applyFont="1"/>
    <xf numFmtId="10" fontId="18" fillId="0" borderId="0" xfId="4" applyNumberFormat="1" applyFont="1" applyBorder="1"/>
    <xf numFmtId="10" fontId="23" fillId="0" borderId="12" xfId="0" applyNumberFormat="1" applyFont="1" applyBorder="1" applyAlignment="1">
      <alignment horizontal="left"/>
    </xf>
    <xf numFmtId="2" fontId="12" fillId="5" borderId="19" xfId="0" applyNumberFormat="1" applyFont="1" applyFill="1" applyBorder="1" applyAlignment="1">
      <alignment horizontal="center" vertical="center" wrapText="1"/>
    </xf>
    <xf numFmtId="4" fontId="18" fillId="0" borderId="20" xfId="0" applyNumberFormat="1" applyFont="1" applyBorder="1"/>
    <xf numFmtId="4" fontId="40" fillId="8" borderId="19" xfId="44" applyNumberFormat="1" applyFill="1" applyBorder="1" applyAlignment="1">
      <alignment horizontal="right" wrapText="1"/>
    </xf>
    <xf numFmtId="4" fontId="18" fillId="0" borderId="34" xfId="0" applyNumberFormat="1" applyFont="1" applyBorder="1"/>
    <xf numFmtId="2" fontId="12" fillId="9" borderId="10" xfId="0" applyNumberFormat="1" applyFont="1" applyFill="1" applyBorder="1" applyAlignment="1">
      <alignment horizontal="center" vertical="center" wrapText="1"/>
    </xf>
    <xf numFmtId="4" fontId="23" fillId="0" borderId="13" xfId="0" applyNumberFormat="1" applyFont="1" applyBorder="1"/>
    <xf numFmtId="10" fontId="23" fillId="0" borderId="9" xfId="0" applyNumberFormat="1" applyFont="1" applyBorder="1" applyAlignment="1">
      <alignment horizontal="left"/>
    </xf>
    <xf numFmtId="3" fontId="23" fillId="0" borderId="13" xfId="0" applyNumberFormat="1" applyFont="1" applyBorder="1" applyAlignment="1">
      <alignment horizontal="left" wrapText="1"/>
    </xf>
    <xf numFmtId="4" fontId="31" fillId="0" borderId="11" xfId="0" applyNumberFormat="1" applyFont="1" applyBorder="1"/>
    <xf numFmtId="4" fontId="49" fillId="6" borderId="0" xfId="0" applyNumberFormat="1" applyFont="1" applyFill="1" applyAlignment="1" applyProtection="1">
      <alignment vertical="top"/>
      <protection hidden="1"/>
    </xf>
    <xf numFmtId="2" fontId="35" fillId="5" borderId="18" xfId="0" applyNumberFormat="1" applyFont="1" applyFill="1" applyBorder="1" applyAlignment="1">
      <alignment horizontal="center" vertical="center" wrapText="1"/>
    </xf>
    <xf numFmtId="2" fontId="35" fillId="5" borderId="9" xfId="0" applyNumberFormat="1" applyFont="1" applyFill="1" applyBorder="1" applyAlignment="1">
      <alignment horizontal="center" vertical="center" wrapText="1"/>
    </xf>
    <xf numFmtId="0" fontId="35" fillId="5" borderId="9" xfId="0" applyFont="1" applyFill="1" applyBorder="1" applyAlignment="1">
      <alignment horizontal="center" vertical="center" wrapText="1"/>
    </xf>
    <xf numFmtId="2" fontId="53" fillId="5" borderId="8" xfId="0" applyNumberFormat="1" applyFont="1" applyFill="1" applyBorder="1" applyAlignment="1">
      <alignment horizontal="center" vertical="center" wrapText="1"/>
    </xf>
    <xf numFmtId="2" fontId="53" fillId="5" borderId="9" xfId="0" applyNumberFormat="1" applyFont="1" applyFill="1" applyBorder="1" applyAlignment="1">
      <alignment horizontal="center" vertical="center" wrapText="1"/>
    </xf>
    <xf numFmtId="0" fontId="53" fillId="5" borderId="9" xfId="0" applyFont="1" applyFill="1" applyBorder="1" applyAlignment="1">
      <alignment horizontal="center" vertical="center" wrapText="1"/>
    </xf>
    <xf numFmtId="2" fontId="35" fillId="5" borderId="8" xfId="0" applyNumberFormat="1" applyFont="1" applyFill="1" applyBorder="1" applyAlignment="1">
      <alignment horizontal="center" vertical="center" wrapText="1"/>
    </xf>
    <xf numFmtId="2" fontId="35" fillId="5" borderId="3" xfId="0" applyNumberFormat="1" applyFont="1" applyFill="1" applyBorder="1" applyAlignment="1">
      <alignment horizontal="center" vertical="center" wrapText="1"/>
    </xf>
    <xf numFmtId="2" fontId="55" fillId="5" borderId="3" xfId="0" applyNumberFormat="1" applyFont="1" applyFill="1" applyBorder="1" applyAlignment="1">
      <alignment horizontal="center" vertical="center" wrapText="1"/>
    </xf>
    <xf numFmtId="166" fontId="53" fillId="12" borderId="8" xfId="0" applyNumberFormat="1" applyFont="1" applyFill="1" applyBorder="1" applyAlignment="1" applyProtection="1">
      <alignment horizontal="center" vertical="center" wrapText="1"/>
      <protection locked="0"/>
    </xf>
    <xf numFmtId="2" fontId="53" fillId="5" borderId="3" xfId="0" applyNumberFormat="1"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2" fontId="2" fillId="5" borderId="5" xfId="0" applyNumberFormat="1" applyFont="1" applyFill="1" applyBorder="1" applyAlignment="1">
      <alignment horizontal="center" vertical="center" wrapText="1"/>
    </xf>
    <xf numFmtId="4" fontId="35" fillId="0" borderId="8" xfId="0" applyNumberFormat="1" applyFont="1" applyBorder="1"/>
    <xf numFmtId="4" fontId="35" fillId="0" borderId="9" xfId="0" applyNumberFormat="1" applyFont="1" applyBorder="1"/>
    <xf numFmtId="4" fontId="55" fillId="12" borderId="8" xfId="0" applyNumberFormat="1" applyFont="1" applyFill="1" applyBorder="1" applyProtection="1">
      <protection locked="0"/>
    </xf>
    <xf numFmtId="4" fontId="56" fillId="8" borderId="8" xfId="44" applyNumberFormat="1" applyFont="1" applyFill="1" applyBorder="1" applyAlignment="1">
      <alignment horizontal="right" wrapText="1"/>
    </xf>
    <xf numFmtId="4" fontId="54" fillId="8" borderId="8" xfId="44" applyNumberFormat="1" applyFont="1" applyFill="1" applyBorder="1" applyAlignment="1">
      <alignment horizontal="right" wrapText="1"/>
    </xf>
    <xf numFmtId="4" fontId="35" fillId="0" borderId="27" xfId="0" applyNumberFormat="1" applyFont="1" applyBorder="1"/>
    <xf numFmtId="4" fontId="35" fillId="0" borderId="28" xfId="0" applyNumberFormat="1" applyFont="1" applyBorder="1"/>
    <xf numFmtId="0" fontId="53" fillId="5" borderId="8" xfId="0" applyFont="1" applyFill="1" applyBorder="1" applyAlignment="1">
      <alignment horizontal="center" vertical="center" wrapText="1"/>
    </xf>
    <xf numFmtId="14" fontId="55" fillId="12" borderId="8" xfId="0" applyNumberFormat="1" applyFont="1" applyFill="1" applyBorder="1" applyAlignment="1" applyProtection="1">
      <alignment horizontal="left" vertical="center" wrapText="1"/>
      <protection locked="0"/>
    </xf>
    <xf numFmtId="4" fontId="55" fillId="13" borderId="8" xfId="0" applyNumberFormat="1" applyFont="1" applyFill="1" applyBorder="1" applyProtection="1">
      <protection locked="0"/>
    </xf>
    <xf numFmtId="0" fontId="21" fillId="12" borderId="18" xfId="0" applyFont="1" applyFill="1" applyBorder="1" applyAlignment="1" applyProtection="1">
      <alignment horizontal="right" vertical="top" wrapText="1"/>
      <protection locked="0"/>
    </xf>
    <xf numFmtId="0" fontId="23" fillId="12" borderId="11" xfId="0" applyFont="1" applyFill="1" applyBorder="1" applyProtection="1">
      <protection locked="0"/>
    </xf>
    <xf numFmtId="0" fontId="23" fillId="12" borderId="11" xfId="0" applyFont="1" applyFill="1" applyBorder="1"/>
    <xf numFmtId="0" fontId="26" fillId="0" borderId="4" xfId="0" applyFont="1" applyBorder="1"/>
    <xf numFmtId="0" fontId="23" fillId="0" borderId="4" xfId="0" applyFont="1" applyBorder="1"/>
    <xf numFmtId="2"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9" xfId="0" applyFont="1" applyFill="1" applyBorder="1" applyAlignment="1">
      <alignment horizontal="center" vertical="center" wrapText="1"/>
    </xf>
    <xf numFmtId="2" fontId="12" fillId="4" borderId="9" xfId="0" applyNumberFormat="1" applyFont="1" applyFill="1" applyBorder="1" applyAlignment="1">
      <alignment horizontal="center" vertical="center" wrapText="1"/>
    </xf>
    <xf numFmtId="4" fontId="40" fillId="8" borderId="9" xfId="44" applyNumberFormat="1" applyFill="1" applyBorder="1" applyAlignment="1">
      <alignment horizontal="right" wrapText="1"/>
    </xf>
    <xf numFmtId="2" fontId="12" fillId="4" borderId="22" xfId="0" applyNumberFormat="1"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1" xfId="0" applyFont="1" applyFill="1" applyBorder="1" applyAlignment="1">
      <alignment horizontal="center" vertical="center" wrapText="1"/>
    </xf>
    <xf numFmtId="49" fontId="22" fillId="0" borderId="26" xfId="0" applyNumberFormat="1" applyFont="1" applyBorder="1" applyAlignment="1" applyProtection="1">
      <alignment horizontal="left" vertical="top"/>
      <protection locked="0"/>
    </xf>
    <xf numFmtId="4" fontId="18" fillId="12" borderId="9" xfId="0" applyNumberFormat="1" applyFont="1" applyFill="1" applyBorder="1" applyAlignment="1" applyProtection="1">
      <alignment horizontal="right" wrapText="1"/>
      <protection locked="0"/>
    </xf>
    <xf numFmtId="4" fontId="18" fillId="12" borderId="8" xfId="0" applyNumberFormat="1" applyFont="1" applyFill="1" applyBorder="1" applyAlignment="1" applyProtection="1">
      <alignment horizontal="right" wrapText="1"/>
      <protection locked="0"/>
    </xf>
    <xf numFmtId="4" fontId="18" fillId="12" borderId="22" xfId="0" applyNumberFormat="1" applyFont="1" applyFill="1" applyBorder="1" applyAlignment="1" applyProtection="1">
      <alignment horizontal="right" wrapText="1"/>
      <protection locked="0"/>
    </xf>
    <xf numFmtId="4" fontId="18" fillId="0" borderId="6" xfId="0" applyNumberFormat="1" applyFont="1" applyBorder="1"/>
    <xf numFmtId="0" fontId="25" fillId="12" borderId="8" xfId="0" applyFont="1" applyFill="1" applyBorder="1" applyAlignment="1" applyProtection="1">
      <alignment wrapText="1"/>
      <protection locked="0"/>
    </xf>
    <xf numFmtId="4" fontId="54" fillId="13" borderId="8" xfId="44" applyNumberFormat="1" applyFont="1" applyFill="1" applyBorder="1" applyAlignment="1">
      <alignment horizontal="right" wrapText="1"/>
    </xf>
    <xf numFmtId="0" fontId="9" fillId="13" borderId="0" xfId="0" applyFont="1" applyFill="1" applyProtection="1">
      <protection locked="0"/>
    </xf>
    <xf numFmtId="0" fontId="60" fillId="12" borderId="8" xfId="0" applyFont="1" applyFill="1" applyBorder="1" applyAlignment="1" applyProtection="1">
      <alignment wrapText="1"/>
      <protection locked="0"/>
    </xf>
    <xf numFmtId="0" fontId="7" fillId="5" borderId="8" xfId="37" applyFont="1" applyFill="1" applyBorder="1" applyAlignment="1" applyProtection="1">
      <alignment horizontal="right" vertical="top" wrapText="1"/>
      <protection locked="0"/>
    </xf>
    <xf numFmtId="9" fontId="7" fillId="5" borderId="8" xfId="37" applyNumberFormat="1" applyFont="1" applyFill="1" applyBorder="1" applyAlignment="1" applyProtection="1">
      <alignment horizontal="right" vertical="top" wrapText="1"/>
      <protection locked="0"/>
    </xf>
    <xf numFmtId="3" fontId="25" fillId="12" borderId="8" xfId="0" applyNumberFormat="1" applyFont="1" applyFill="1" applyBorder="1" applyProtection="1">
      <protection locked="0"/>
    </xf>
    <xf numFmtId="14" fontId="23" fillId="0" borderId="9" xfId="0" applyNumberFormat="1" applyFont="1" applyFill="1" applyBorder="1" applyAlignment="1" applyProtection="1">
      <alignment horizontal="left"/>
      <protection locked="0"/>
    </xf>
    <xf numFmtId="166" fontId="35" fillId="0" borderId="18" xfId="0" applyNumberFormat="1" applyFont="1" applyFill="1" applyBorder="1" applyAlignment="1" applyProtection="1">
      <alignment horizontal="center" vertical="center" wrapText="1"/>
      <protection locked="0"/>
    </xf>
    <xf numFmtId="4" fontId="0" fillId="0" borderId="0" xfId="0" applyNumberFormat="1" applyFill="1"/>
    <xf numFmtId="0" fontId="0" fillId="0" borderId="0" xfId="0" applyFill="1"/>
    <xf numFmtId="4" fontId="23" fillId="12" borderId="8" xfId="0" applyNumberFormat="1" applyFont="1" applyFill="1" applyBorder="1" applyAlignment="1" applyProtection="1">
      <alignment horizontal="left" vertical="center" wrapText="1"/>
      <protection locked="0"/>
    </xf>
    <xf numFmtId="0" fontId="23" fillId="12" borderId="8" xfId="0" applyNumberFormat="1" applyFont="1" applyFill="1" applyBorder="1" applyAlignment="1" applyProtection="1">
      <alignment horizontal="left" vertical="center" wrapText="1"/>
      <protection locked="0"/>
    </xf>
    <xf numFmtId="0" fontId="23" fillId="12" borderId="9" xfId="0" applyFont="1" applyFill="1" applyBorder="1" applyAlignment="1" applyProtection="1">
      <alignment horizontal="left"/>
      <protection locked="0"/>
    </xf>
    <xf numFmtId="0" fontId="23" fillId="12" borderId="8" xfId="0" applyFont="1" applyFill="1" applyBorder="1" applyAlignment="1" applyProtection="1">
      <alignment horizontal="left"/>
      <protection locked="0"/>
    </xf>
    <xf numFmtId="0" fontId="23" fillId="12" borderId="13" xfId="0" applyFont="1" applyFill="1" applyBorder="1" applyAlignment="1" applyProtection="1">
      <alignment horizontal="left"/>
      <protection locked="0"/>
    </xf>
    <xf numFmtId="0" fontId="23" fillId="12" borderId="1" xfId="0" applyFont="1" applyFill="1" applyBorder="1" applyAlignment="1" applyProtection="1">
      <protection locked="0"/>
    </xf>
    <xf numFmtId="0" fontId="0" fillId="12" borderId="1" xfId="0" applyFill="1" applyBorder="1" applyAlignment="1" applyProtection="1">
      <protection locked="0"/>
    </xf>
    <xf numFmtId="0" fontId="0" fillId="12" borderId="12" xfId="0" applyFill="1" applyBorder="1" applyAlignment="1" applyProtection="1">
      <protection locked="0"/>
    </xf>
    <xf numFmtId="0" fontId="23" fillId="12" borderId="13" xfId="0" quotePrefix="1" applyFont="1" applyFill="1" applyBorder="1" applyAlignment="1" applyProtection="1">
      <alignment horizontal="left"/>
      <protection locked="0"/>
    </xf>
    <xf numFmtId="0" fontId="23" fillId="12" borderId="1" xfId="0" applyFont="1" applyFill="1" applyBorder="1" applyAlignment="1"/>
    <xf numFmtId="0" fontId="0" fillId="12" borderId="1" xfId="0" applyFill="1" applyBorder="1" applyAlignment="1"/>
    <xf numFmtId="0" fontId="0" fillId="12" borderId="12" xfId="0" applyFill="1" applyBorder="1" applyAlignment="1"/>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23" fillId="12" borderId="10" xfId="0" applyFont="1" applyFill="1" applyBorder="1" applyAlignment="1" applyProtection="1">
      <protection locked="0"/>
    </xf>
    <xf numFmtId="0" fontId="0" fillId="12" borderId="13" xfId="0" applyFill="1" applyBorder="1" applyAlignment="1"/>
    <xf numFmtId="0" fontId="0" fillId="12" borderId="9" xfId="0" applyFill="1" applyBorder="1" applyAlignment="1"/>
    <xf numFmtId="0" fontId="29" fillId="3" borderId="10" xfId="0" applyFont="1" applyFill="1" applyBorder="1" applyAlignment="1"/>
    <xf numFmtId="0" fontId="29" fillId="3" borderId="13" xfId="0" applyFont="1" applyFill="1" applyBorder="1" applyAlignment="1"/>
    <xf numFmtId="0" fontId="29" fillId="3" borderId="9" xfId="0" applyFont="1" applyFill="1" applyBorder="1" applyAlignment="1"/>
    <xf numFmtId="0" fontId="23" fillId="0" borderId="10" xfId="0" applyFont="1" applyBorder="1" applyAlignment="1" applyProtection="1">
      <alignment horizontal="left" wrapText="1"/>
      <protection locked="0"/>
    </xf>
    <xf numFmtId="0" fontId="23" fillId="0" borderId="13" xfId="0" applyFont="1" applyBorder="1" applyAlignment="1" applyProtection="1">
      <alignment horizontal="left" wrapText="1"/>
      <protection locked="0"/>
    </xf>
    <xf numFmtId="0" fontId="23" fillId="0" borderId="9" xfId="0" applyFont="1" applyBorder="1" applyAlignment="1" applyProtection="1">
      <alignment horizontal="left" wrapText="1"/>
      <protection locked="0"/>
    </xf>
    <xf numFmtId="0" fontId="23" fillId="12" borderId="10" xfId="0" applyFont="1" applyFill="1" applyBorder="1" applyAlignment="1" applyProtection="1">
      <alignment horizontal="left" wrapText="1"/>
      <protection locked="0"/>
    </xf>
    <xf numFmtId="0" fontId="23" fillId="12" borderId="13" xfId="0" applyFont="1" applyFill="1" applyBorder="1" applyAlignment="1" applyProtection="1">
      <alignment horizontal="left" wrapText="1"/>
      <protection locked="0"/>
    </xf>
    <xf numFmtId="0" fontId="23" fillId="12" borderId="9" xfId="0" applyFont="1" applyFill="1" applyBorder="1" applyAlignment="1" applyProtection="1">
      <alignment horizontal="left" wrapText="1"/>
      <protection locked="0"/>
    </xf>
    <xf numFmtId="0" fontId="28" fillId="2" borderId="10" xfId="0" applyFont="1" applyFill="1" applyBorder="1" applyAlignment="1"/>
    <xf numFmtId="0" fontId="28" fillId="2" borderId="13" xfId="0" applyFont="1" applyFill="1" applyBorder="1" applyAlignment="1"/>
    <xf numFmtId="0" fontId="28" fillId="2" borderId="9" xfId="0" applyFont="1" applyFill="1" applyBorder="1" applyAlignment="1"/>
    <xf numFmtId="0" fontId="29" fillId="0" borderId="11" xfId="0" applyFont="1" applyBorder="1" applyAlignment="1">
      <alignment horizontal="left" vertical="center" wrapText="1"/>
    </xf>
    <xf numFmtId="0" fontId="29" fillId="0" borderId="1" xfId="0" applyFont="1" applyBorder="1" applyAlignment="1">
      <alignment horizontal="left" vertical="center" wrapText="1"/>
    </xf>
    <xf numFmtId="0" fontId="29" fillId="0" borderId="12" xfId="0" applyFont="1" applyBorder="1" applyAlignment="1">
      <alignment horizontal="left" vertical="center" wrapText="1"/>
    </xf>
    <xf numFmtId="0" fontId="57" fillId="12" borderId="13" xfId="51" applyFill="1" applyBorder="1" applyAlignment="1" applyProtection="1">
      <alignment horizontal="left"/>
      <protection locked="0"/>
    </xf>
    <xf numFmtId="0" fontId="23" fillId="0" borderId="11" xfId="0" applyFont="1" applyBorder="1" applyAlignment="1"/>
    <xf numFmtId="0" fontId="23" fillId="0" borderId="1" xfId="0" applyFont="1" applyBorder="1" applyAlignment="1"/>
    <xf numFmtId="0" fontId="23" fillId="0" borderId="12" xfId="0" applyFont="1" applyBorder="1" applyAlignment="1"/>
    <xf numFmtId="0" fontId="0" fillId="12" borderId="13" xfId="0" applyFill="1" applyBorder="1" applyAlignment="1">
      <alignment horizontal="left" wrapText="1"/>
    </xf>
    <xf numFmtId="0" fontId="0" fillId="12" borderId="9" xfId="0" applyFill="1" applyBorder="1" applyAlignment="1">
      <alignment horizontal="left" wrapText="1"/>
    </xf>
    <xf numFmtId="0" fontId="44"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23" fillId="14" borderId="13" xfId="0" applyFont="1" applyFill="1" applyBorder="1" applyAlignment="1">
      <alignment horizontal="left"/>
    </xf>
    <xf numFmtId="0" fontId="57" fillId="14" borderId="13" xfId="51" applyFill="1" applyBorder="1" applyAlignment="1">
      <alignment horizontal="left"/>
    </xf>
    <xf numFmtId="0" fontId="23" fillId="14" borderId="13" xfId="0" quotePrefix="1" applyFont="1" applyFill="1" applyBorder="1" applyAlignment="1">
      <alignment horizontal="left"/>
    </xf>
    <xf numFmtId="1" fontId="26" fillId="12" borderId="8" xfId="0" applyNumberFormat="1" applyFont="1" applyFill="1" applyBorder="1" applyAlignment="1" applyProtection="1">
      <alignment horizontal="center"/>
      <protection locked="0"/>
    </xf>
    <xf numFmtId="4" fontId="26" fillId="3" borderId="10" xfId="0" applyNumberFormat="1" applyFont="1" applyFill="1" applyBorder="1" applyAlignment="1">
      <alignment wrapText="1"/>
    </xf>
    <xf numFmtId="4" fontId="26" fillId="3" borderId="13" xfId="0" applyNumberFormat="1" applyFont="1" applyFill="1" applyBorder="1" applyAlignment="1">
      <alignment wrapText="1"/>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4" fontId="23" fillId="12" borderId="11" xfId="0" applyNumberFormat="1" applyFont="1" applyFill="1" applyBorder="1" applyAlignment="1" applyProtection="1">
      <protection locked="0"/>
    </xf>
    <xf numFmtId="4" fontId="23" fillId="12" borderId="13" xfId="0" applyNumberFormat="1" applyFont="1" applyFill="1" applyBorder="1" applyAlignment="1" applyProtection="1">
      <protection locked="0"/>
    </xf>
    <xf numFmtId="166" fontId="0" fillId="0" borderId="13" xfId="0" applyNumberFormat="1" applyFill="1" applyBorder="1" applyAlignment="1">
      <alignment horizontal="left"/>
    </xf>
    <xf numFmtId="166" fontId="0" fillId="0" borderId="9" xfId="0" applyNumberFormat="1" applyFill="1" applyBorder="1" applyAlignment="1">
      <alignment horizontal="left"/>
    </xf>
    <xf numFmtId="0" fontId="23" fillId="3" borderId="13" xfId="0" applyFont="1" applyFill="1" applyBorder="1" applyAlignment="1">
      <alignment horizontal="left"/>
    </xf>
    <xf numFmtId="0" fontId="20" fillId="5" borderId="10"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9" xfId="0" applyFont="1" applyFill="1" applyBorder="1" applyAlignment="1">
      <alignment horizontal="left" vertical="center"/>
    </xf>
    <xf numFmtId="3" fontId="23" fillId="3" borderId="10" xfId="0" applyNumberFormat="1" applyFont="1" applyFill="1" applyBorder="1" applyAlignment="1">
      <alignment horizontal="left" wrapText="1"/>
    </xf>
    <xf numFmtId="3" fontId="23" fillId="3" borderId="13" xfId="0" applyNumberFormat="1" applyFont="1" applyFill="1" applyBorder="1" applyAlignment="1">
      <alignment horizontal="left" wrapText="1"/>
    </xf>
    <xf numFmtId="4" fontId="23" fillId="0" borderId="10" xfId="0" applyNumberFormat="1" applyFont="1" applyBorder="1" applyAlignment="1">
      <alignment horizontal="right" vertical="center" wrapText="1"/>
    </xf>
    <xf numFmtId="4" fontId="23"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4" fontId="23" fillId="0" borderId="10" xfId="0" applyNumberFormat="1" applyFont="1" applyBorder="1" applyAlignment="1">
      <alignment wrapText="1"/>
    </xf>
    <xf numFmtId="4" fontId="23" fillId="0" borderId="13" xfId="0" applyNumberFormat="1" applyFont="1" applyBorder="1" applyAlignment="1">
      <alignment wrapText="1"/>
    </xf>
    <xf numFmtId="3" fontId="31" fillId="0" borderId="10" xfId="0" applyNumberFormat="1" applyFont="1" applyBorder="1" applyAlignment="1">
      <alignment horizontal="left" wrapText="1"/>
    </xf>
    <xf numFmtId="0" fontId="31" fillId="0" borderId="13" xfId="0" applyFont="1" applyBorder="1" applyAlignment="1">
      <alignment horizontal="left" wrapText="1"/>
    </xf>
    <xf numFmtId="4" fontId="0" fillId="0" borderId="10" xfId="0" applyNumberFormat="1" applyBorder="1" applyAlignment="1">
      <alignment wrapText="1"/>
    </xf>
    <xf numFmtId="4" fontId="0" fillId="0" borderId="13" xfId="0" applyNumberFormat="1" applyBorder="1" applyAlignment="1">
      <alignment wrapText="1"/>
    </xf>
    <xf numFmtId="0" fontId="23" fillId="6" borderId="0" xfId="0" applyFont="1" applyFill="1" applyAlignment="1">
      <alignment horizontal="center"/>
    </xf>
    <xf numFmtId="0" fontId="0" fillId="6" borderId="0" xfId="0" applyFill="1" applyAlignment="1">
      <alignment horizontal="center"/>
    </xf>
    <xf numFmtId="0" fontId="16" fillId="6" borderId="0" xfId="0" applyFont="1" applyFill="1" applyAlignment="1">
      <alignment horizontal="center" vertical="center" wrapText="1"/>
    </xf>
    <xf numFmtId="49" fontId="26" fillId="6" borderId="0" xfId="0" applyNumberFormat="1" applyFont="1" applyFill="1" applyAlignment="1">
      <alignment horizontal="center" vertical="center" wrapText="1"/>
    </xf>
    <xf numFmtId="0" fontId="26" fillId="6" borderId="0" xfId="0" applyFont="1" applyFill="1" applyAlignment="1">
      <alignment horizontal="center" vertical="center" wrapText="1"/>
    </xf>
    <xf numFmtId="14" fontId="26" fillId="0" borderId="13" xfId="0" applyNumberFormat="1" applyFont="1" applyBorder="1" applyAlignment="1">
      <alignment horizontal="left"/>
    </xf>
    <xf numFmtId="0" fontId="26" fillId="0" borderId="13" xfId="0" applyFont="1" applyBorder="1" applyAlignment="1">
      <alignment horizontal="left"/>
    </xf>
    <xf numFmtId="0" fontId="26" fillId="0" borderId="13" xfId="0" applyFont="1" applyBorder="1" applyAlignment="1"/>
    <xf numFmtId="0" fontId="26" fillId="0" borderId="9" xfId="0" applyFont="1" applyBorder="1" applyAlignment="1"/>
    <xf numFmtId="0" fontId="23" fillId="12" borderId="8" xfId="0" applyFont="1" applyFill="1" applyBorder="1" applyAlignment="1" applyProtection="1">
      <protection locked="0"/>
    </xf>
    <xf numFmtId="49" fontId="26" fillId="12" borderId="10"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9" xfId="0" applyNumberFormat="1" applyFont="1" applyFill="1" applyBorder="1" applyAlignment="1" applyProtection="1">
      <alignment horizontal="left" vertical="center" wrapText="1"/>
      <protection locked="0"/>
    </xf>
    <xf numFmtId="0" fontId="0" fillId="5" borderId="13" xfId="0" applyFill="1" applyBorder="1" applyAlignment="1">
      <alignment horizontal="left" vertical="center"/>
    </xf>
    <xf numFmtId="0" fontId="0" fillId="5" borderId="9" xfId="0" applyFill="1" applyBorder="1" applyAlignment="1">
      <alignment horizontal="left" vertical="center"/>
    </xf>
    <xf numFmtId="14" fontId="23" fillId="12" borderId="13" xfId="0" applyNumberFormat="1" applyFont="1" applyFill="1" applyBorder="1" applyAlignment="1" applyProtection="1">
      <alignment horizontal="left"/>
      <protection locked="0"/>
    </xf>
    <xf numFmtId="0" fontId="23" fillId="12" borderId="13" xfId="0" applyFont="1" applyFill="1" applyBorder="1" applyAlignment="1" applyProtection="1">
      <protection locked="0"/>
    </xf>
    <xf numFmtId="0" fontId="23" fillId="12" borderId="9" xfId="0" applyFont="1" applyFill="1" applyBorder="1" applyAlignment="1" applyProtection="1">
      <protection locked="0"/>
    </xf>
    <xf numFmtId="0" fontId="20"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12" borderId="13" xfId="0" applyNumberFormat="1" applyFill="1" applyBorder="1" applyAlignment="1" applyProtection="1">
      <alignment wrapText="1"/>
      <protection locked="0"/>
    </xf>
    <xf numFmtId="4" fontId="23" fillId="3" borderId="10" xfId="0" applyNumberFormat="1" applyFont="1" applyFill="1" applyBorder="1" applyAlignment="1">
      <alignment wrapText="1"/>
    </xf>
    <xf numFmtId="4" fontId="23" fillId="3" borderId="13" xfId="0" applyNumberFormat="1" applyFont="1" applyFill="1" applyBorder="1" applyAlignment="1">
      <alignment wrapText="1"/>
    </xf>
    <xf numFmtId="10" fontId="26" fillId="0" borderId="10" xfId="0" applyNumberFormat="1" applyFont="1" applyBorder="1" applyAlignment="1">
      <alignment horizontal="right" wrapText="1"/>
    </xf>
    <xf numFmtId="10" fontId="26" fillId="0" borderId="13" xfId="0" applyNumberFormat="1" applyFont="1" applyBorder="1" applyAlignment="1">
      <alignment horizontal="right" wrapText="1"/>
    </xf>
    <xf numFmtId="0" fontId="26" fillId="0" borderId="9" xfId="0" applyFont="1" applyBorder="1" applyAlignment="1">
      <alignment wrapText="1"/>
    </xf>
    <xf numFmtId="0" fontId="28" fillId="2" borderId="11" xfId="0" applyFont="1" applyFill="1" applyBorder="1" applyAlignment="1"/>
    <xf numFmtId="0" fontId="28" fillId="2" borderId="1" xfId="0" applyFont="1" applyFill="1" applyBorder="1" applyAlignment="1"/>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23" fillId="6" borderId="15"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49" fontId="16" fillId="6" borderId="15" xfId="0" applyNumberFormat="1" applyFont="1" applyFill="1" applyBorder="1" applyAlignment="1" applyProtection="1">
      <alignment horizontal="center" vertical="center" wrapText="1"/>
      <protection locked="0"/>
    </xf>
    <xf numFmtId="49" fontId="16" fillId="6" borderId="0" xfId="0" applyNumberFormat="1" applyFont="1" applyFill="1" applyAlignment="1" applyProtection="1">
      <alignment horizontal="center" vertical="center" wrapText="1"/>
      <protection locked="0"/>
    </xf>
    <xf numFmtId="2" fontId="12" fillId="7" borderId="20" xfId="0" applyNumberFormat="1" applyFont="1" applyFill="1" applyBorder="1" applyAlignment="1">
      <alignment horizontal="center" vertical="center" wrapText="1"/>
    </xf>
    <xf numFmtId="2" fontId="12"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35" fillId="5" borderId="18" xfId="0" applyFont="1" applyFill="1" applyBorder="1" applyAlignment="1">
      <alignment horizontal="left" vertical="center" wrapText="1"/>
    </xf>
    <xf numFmtId="0" fontId="0" fillId="0" borderId="8" xfId="0" applyBorder="1" applyAlignment="1">
      <alignment horizontal="left" vertical="center" wrapText="1"/>
    </xf>
    <xf numFmtId="0" fontId="35" fillId="5" borderId="8" xfId="0" applyFont="1" applyFill="1" applyBorder="1" applyAlignment="1">
      <alignment horizontal="left" vertical="center" wrapText="1"/>
    </xf>
    <xf numFmtId="4" fontId="17" fillId="0" borderId="10" xfId="0" applyNumberFormat="1" applyFont="1" applyBorder="1" applyAlignment="1" applyProtection="1">
      <alignment horizontal="left" vertical="top" wrapText="1"/>
      <protection locked="0"/>
    </xf>
    <xf numFmtId="4" fontId="17" fillId="0" borderId="13" xfId="0" applyNumberFormat="1" applyFont="1" applyBorder="1" applyAlignment="1" applyProtection="1">
      <alignment horizontal="left" vertical="top" wrapText="1"/>
      <protection locked="0"/>
    </xf>
    <xf numFmtId="4" fontId="19" fillId="5" borderId="2" xfId="0" applyNumberFormat="1" applyFont="1" applyFill="1" applyBorder="1" applyAlignment="1">
      <alignment horizontal="left" vertical="top" wrapText="1"/>
    </xf>
    <xf numFmtId="4" fontId="19" fillId="5" borderId="3" xfId="0" applyNumberFormat="1" applyFont="1" applyFill="1" applyBorder="1" applyAlignment="1">
      <alignment horizontal="left" vertical="top" wrapText="1"/>
    </xf>
    <xf numFmtId="4" fontId="19" fillId="5" borderId="10" xfId="0" applyNumberFormat="1" applyFont="1" applyFill="1" applyBorder="1" applyAlignment="1">
      <alignment horizontal="left" vertical="top" wrapText="1"/>
    </xf>
    <xf numFmtId="4" fontId="19" fillId="5" borderId="13" xfId="0" applyNumberFormat="1" applyFont="1" applyFill="1" applyBorder="1" applyAlignment="1">
      <alignment horizontal="left" vertical="top" wrapText="1"/>
    </xf>
    <xf numFmtId="0" fontId="0" fillId="0" borderId="13" xfId="0" applyBorder="1" applyAlignment="1">
      <alignment horizontal="left" vertical="top" wrapText="1"/>
    </xf>
    <xf numFmtId="0" fontId="26" fillId="6" borderId="0" xfId="0" applyFont="1" applyFill="1" applyAlignment="1" applyProtection="1">
      <alignment horizontal="right" wrapText="1"/>
      <protection locked="0"/>
    </xf>
    <xf numFmtId="0" fontId="0" fillId="6" borderId="0" xfId="0" applyFill="1" applyAlignment="1" applyProtection="1">
      <protection locked="0"/>
    </xf>
    <xf numFmtId="0" fontId="0" fillId="6" borderId="25" xfId="0" applyFill="1" applyBorder="1" applyAlignment="1" applyProtection="1">
      <protection locked="0"/>
    </xf>
    <xf numFmtId="2" fontId="12"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2" fontId="12"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26" fillId="13" borderId="0" xfId="0" applyFont="1" applyFill="1" applyAlignment="1" applyProtection="1">
      <alignment horizontal="left"/>
      <protection locked="0"/>
    </xf>
    <xf numFmtId="0" fontId="0" fillId="13" borderId="0" xfId="0" applyFill="1" applyAlignment="1" applyProtection="1">
      <alignment horizontal="left"/>
      <protection locked="0"/>
    </xf>
    <xf numFmtId="0" fontId="0" fillId="13" borderId="25" xfId="0" applyFill="1" applyBorder="1" applyAlignment="1" applyProtection="1">
      <alignment horizontal="left"/>
      <protection locked="0"/>
    </xf>
    <xf numFmtId="0" fontId="26"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34" fillId="5" borderId="4" xfId="37" applyFont="1" applyFill="1" applyBorder="1" applyAlignment="1" applyProtection="1">
      <alignment horizontal="left" vertical="top" wrapText="1"/>
      <protection locked="0"/>
    </xf>
    <xf numFmtId="0" fontId="32" fillId="5" borderId="0" xfId="0" applyFont="1" applyFill="1" applyAlignment="1" applyProtection="1">
      <alignment horizontal="left" vertical="top" wrapText="1"/>
      <protection locked="0"/>
    </xf>
    <xf numFmtId="0" fontId="32" fillId="5" borderId="6" xfId="0" applyFont="1" applyFill="1" applyBorder="1" applyAlignment="1" applyProtection="1">
      <alignment horizontal="left" vertical="top" wrapText="1"/>
      <protection locked="0"/>
    </xf>
    <xf numFmtId="0" fontId="26" fillId="5" borderId="2" xfId="37" applyFont="1" applyFill="1" applyBorder="1" applyAlignment="1" applyProtection="1">
      <alignment horizontal="left" vertical="top" wrapText="1"/>
      <protection locked="0"/>
    </xf>
    <xf numFmtId="0" fontId="23"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49" fontId="58" fillId="0" borderId="10" xfId="37" applyNumberFormat="1" applyFon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49" fontId="0" fillId="0" borderId="13" xfId="37" applyNumberFormat="1" applyFont="1" applyBorder="1" applyAlignment="1" applyProtection="1">
      <alignment horizontal="left" vertical="top" wrapText="1"/>
      <protection locked="0"/>
    </xf>
    <xf numFmtId="49" fontId="0" fillId="0" borderId="9" xfId="37" applyNumberFormat="1" applyFont="1" applyBorder="1" applyAlignment="1" applyProtection="1">
      <alignment horizontal="left" vertical="top" wrapText="1"/>
      <protection locked="0"/>
    </xf>
    <xf numFmtId="49" fontId="23" fillId="0" borderId="13" xfId="37" applyNumberFormat="1" applyFont="1" applyBorder="1" applyAlignment="1" applyProtection="1">
      <alignment horizontal="left" vertical="top" wrapText="1"/>
      <protection locked="0"/>
    </xf>
    <xf numFmtId="49" fontId="23" fillId="0" borderId="9" xfId="37" applyNumberFormat="1" applyFont="1" applyBorder="1" applyAlignment="1" applyProtection="1">
      <alignment horizontal="left" vertical="top" wrapText="1"/>
      <protection locked="0"/>
    </xf>
    <xf numFmtId="0" fontId="23" fillId="6" borderId="0" xfId="0" applyFont="1" applyFill="1" applyAlignment="1">
      <alignment horizontal="center" vertical="center"/>
    </xf>
    <xf numFmtId="0" fontId="0" fillId="6" borderId="0" xfId="0" applyFill="1" applyAlignment="1">
      <alignment horizontal="center" vertical="center"/>
    </xf>
    <xf numFmtId="0" fontId="31" fillId="6" borderId="0" xfId="0" applyFont="1" applyFill="1" applyAlignment="1">
      <alignment horizontal="center" vertical="center" wrapText="1"/>
    </xf>
    <xf numFmtId="49" fontId="16" fillId="6" borderId="0" xfId="0" applyNumberFormat="1" applyFont="1" applyFill="1" applyAlignment="1">
      <alignment horizontal="center" vertical="center" wrapText="1"/>
    </xf>
    <xf numFmtId="49" fontId="7" fillId="0" borderId="10" xfId="37" applyNumberFormat="1" applyFont="1" applyFill="1" applyBorder="1" applyAlignment="1" applyProtection="1">
      <alignment horizontal="left" vertical="top" wrapText="1"/>
      <protection locked="0"/>
    </xf>
    <xf numFmtId="49" fontId="0" fillId="0" borderId="13" xfId="0" applyNumberFormat="1" applyFill="1" applyBorder="1" applyAlignment="1" applyProtection="1">
      <alignment horizontal="left" vertical="top" wrapText="1"/>
      <protection locked="0"/>
    </xf>
    <xf numFmtId="49" fontId="0" fillId="0" borderId="9" xfId="0" applyNumberFormat="1" applyFill="1" applyBorder="1" applyAlignment="1" applyProtection="1">
      <alignment horizontal="left" vertical="top"/>
      <protection locked="0"/>
    </xf>
    <xf numFmtId="49" fontId="61" fillId="0" borderId="10" xfId="37" applyNumberFormat="1" applyFont="1" applyBorder="1" applyAlignment="1" applyProtection="1">
      <alignment horizontal="left" vertical="top" wrapText="1"/>
      <protection locked="0"/>
    </xf>
    <xf numFmtId="49" fontId="9" fillId="0" borderId="10" xfId="37" applyNumberFormat="1" applyFont="1" applyFill="1" applyBorder="1" applyAlignment="1" applyProtection="1">
      <alignment horizontal="left" vertical="top" wrapText="1"/>
      <protection locked="0"/>
    </xf>
    <xf numFmtId="0" fontId="34" fillId="5" borderId="11" xfId="37" applyFont="1" applyFill="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32" fillId="5" borderId="12" xfId="0" applyFont="1" applyFill="1" applyBorder="1" applyAlignment="1" applyProtection="1">
      <alignment horizontal="left" vertical="top" wrapText="1"/>
      <protection locked="0"/>
    </xf>
    <xf numFmtId="49" fontId="9" fillId="0" borderId="10" xfId="37" applyNumberFormat="1" applyFont="1" applyBorder="1" applyAlignment="1" applyProtection="1">
      <alignment horizontal="left" vertical="top" wrapText="1"/>
      <protection locked="0"/>
    </xf>
    <xf numFmtId="49" fontId="7" fillId="0" borderId="13" xfId="0" applyNumberFormat="1"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protection locked="0"/>
    </xf>
    <xf numFmtId="49" fontId="58" fillId="0" borderId="13" xfId="37" applyNumberFormat="1" applyFont="1" applyBorder="1" applyAlignment="1" applyProtection="1">
      <alignment horizontal="left" vertical="top" wrapText="1"/>
      <protection locked="0"/>
    </xf>
    <xf numFmtId="49" fontId="58" fillId="0" borderId="9" xfId="37" applyNumberFormat="1" applyFont="1" applyBorder="1" applyAlignment="1" applyProtection="1">
      <alignment horizontal="left" vertical="top" wrapText="1"/>
      <protection locked="0"/>
    </xf>
    <xf numFmtId="0" fontId="31" fillId="6" borderId="0" xfId="0" applyFont="1" applyFill="1" applyAlignment="1">
      <alignment horizontal="center" vertical="center"/>
    </xf>
    <xf numFmtId="4" fontId="24"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30" fillId="5" borderId="3" xfId="0" applyFont="1" applyFill="1" applyBorder="1" applyAlignment="1">
      <alignment horizontal="center"/>
    </xf>
    <xf numFmtId="4" fontId="24"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4"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25" fillId="0" borderId="0" xfId="0" applyFont="1" applyAlignment="1" applyProtection="1">
      <protection locked="0"/>
    </xf>
    <xf numFmtId="0" fontId="0" fillId="6" borderId="0" xfId="0" applyFill="1" applyAlignment="1"/>
    <xf numFmtId="0" fontId="26" fillId="6" borderId="0" xfId="0" applyFont="1" applyFill="1" applyAlignment="1">
      <alignment horizontal="right" wrapText="1"/>
    </xf>
    <xf numFmtId="0" fontId="0" fillId="0" borderId="3" xfId="0" applyBorder="1" applyAlignment="1"/>
    <xf numFmtId="0" fontId="23" fillId="0" borderId="8" xfId="0" applyFont="1" applyBorder="1" applyAlignment="1">
      <alignment vertical="center" wrapText="1"/>
    </xf>
    <xf numFmtId="2" fontId="16" fillId="6" borderId="0" xfId="0" applyNumberFormat="1" applyFont="1" applyFill="1" applyAlignment="1">
      <alignment horizontal="left" vertical="center" wrapText="1"/>
    </xf>
    <xf numFmtId="0" fontId="23" fillId="0" borderId="8" xfId="37" applyFont="1" applyBorder="1" applyAlignment="1">
      <alignment vertical="center" wrapText="1"/>
    </xf>
    <xf numFmtId="3" fontId="23" fillId="0" borderId="10" xfId="0" applyNumberFormat="1" applyFont="1" applyBorder="1" applyAlignment="1">
      <alignment horizontal="right" vertical="center"/>
    </xf>
    <xf numFmtId="3" fontId="23" fillId="0" borderId="13" xfId="0" applyNumberFormat="1" applyFont="1" applyBorder="1" applyAlignment="1">
      <alignment horizontal="right" vertical="center"/>
    </xf>
    <xf numFmtId="3" fontId="23" fillId="0" borderId="9" xfId="0" applyNumberFormat="1" applyFont="1" applyBorder="1" applyAlignment="1">
      <alignment horizontal="right" vertical="center"/>
    </xf>
    <xf numFmtId="0" fontId="23" fillId="6" borderId="0" xfId="0" applyFont="1" applyFill="1" applyAlignment="1"/>
    <xf numFmtId="3" fontId="23" fillId="0" borderId="10" xfId="37" applyNumberFormat="1" applyFont="1" applyBorder="1" applyAlignment="1">
      <alignment horizontal="right" vertical="center"/>
    </xf>
    <xf numFmtId="3" fontId="23" fillId="12" borderId="10" xfId="0" quotePrefix="1" applyNumberFormat="1" applyFont="1" applyFill="1" applyBorder="1" applyAlignment="1" applyProtection="1">
      <alignment horizontal="right" vertical="center"/>
      <protection locked="0"/>
    </xf>
    <xf numFmtId="3" fontId="23" fillId="12" borderId="13" xfId="0" applyNumberFormat="1" applyFont="1" applyFill="1" applyBorder="1" applyAlignment="1" applyProtection="1">
      <alignment horizontal="right" vertical="center"/>
      <protection locked="0"/>
    </xf>
    <xf numFmtId="3" fontId="23" fillId="12" borderId="9" xfId="0" applyNumberFormat="1" applyFont="1" applyFill="1" applyBorder="1" applyAlignment="1" applyProtection="1">
      <alignment horizontal="right" vertical="center"/>
      <protection locked="0"/>
    </xf>
    <xf numFmtId="3" fontId="23" fillId="12" borderId="10" xfId="0" applyNumberFormat="1" applyFont="1" applyFill="1" applyBorder="1" applyAlignment="1" applyProtection="1">
      <alignment horizontal="right" vertical="center"/>
      <protection locked="0"/>
    </xf>
  </cellXfs>
  <cellStyles count="52">
    <cellStyle name="Explanatory Text" xfId="44" builtinId="53"/>
    <cellStyle name="Followed Hyperlink" xfId="6" builtinId="9" hidden="1"/>
    <cellStyle name="Followed Hyperlink" xfId="26" builtinId="9" hidden="1"/>
    <cellStyle name="Followed Hyperlink" xfId="15" builtinId="9" hidden="1"/>
    <cellStyle name="Followed Hyperlink" xfId="7" builtinId="9" hidden="1"/>
    <cellStyle name="Followed Hyperlink" xfId="34" builtinId="9" hidden="1"/>
    <cellStyle name="Followed Hyperlink" xfId="23" builtinId="9" hidden="1"/>
    <cellStyle name="Followed Hyperlink" xfId="22" builtinId="9" hidden="1"/>
    <cellStyle name="Followed Hyperlink" xfId="20" builtinId="9" hidden="1"/>
    <cellStyle name="Followed Hyperlink" xfId="28" builtinId="9" hidden="1"/>
    <cellStyle name="Followed Hyperlink" xfId="19" builtinId="9" hidden="1"/>
    <cellStyle name="Followed Hyperlink" xfId="10" builtinId="9" hidden="1"/>
    <cellStyle name="Followed Hyperlink" xfId="27" builtinId="9" hidden="1"/>
    <cellStyle name="Followed Hyperlink" xfId="32" builtinId="9" hidden="1"/>
    <cellStyle name="Followed Hyperlink" xfId="21" builtinId="9" hidden="1"/>
    <cellStyle name="Followed Hyperlink" xfId="29" builtinId="9" hidden="1"/>
    <cellStyle name="Followed Hyperlink" xfId="14" builtinId="9" hidden="1"/>
    <cellStyle name="Followed Hyperlink" xfId="25" builtinId="9" hidden="1"/>
    <cellStyle name="Followed Hyperlink" xfId="31" builtinId="9" hidden="1"/>
    <cellStyle name="Followed Hyperlink" xfId="11" builtinId="9" hidden="1"/>
    <cellStyle name="Followed Hyperlink" xfId="16" builtinId="9" hidden="1"/>
    <cellStyle name="Followed Hyperlink" xfId="9" builtinId="9" hidden="1"/>
    <cellStyle name="Followed Hyperlink" xfId="30" builtinId="9" hidden="1"/>
    <cellStyle name="Followed Hyperlink" xfId="33" builtinId="9" hidden="1"/>
    <cellStyle name="Followed Hyperlink" xfId="8" builtinId="9" hidden="1"/>
    <cellStyle name="Followed Hyperlink" xfId="13" builtinId="9" hidden="1"/>
    <cellStyle name="Followed Hyperlink" xfId="24" builtinId="9" hidden="1"/>
    <cellStyle name="Followed Hyperlink" xfId="17" builtinId="9" hidden="1"/>
    <cellStyle name="Followed Hyperlink" xfId="18" builtinId="9" hidden="1"/>
    <cellStyle name="Followed Hyperlink" xfId="12" builtinId="9" hidden="1"/>
    <cellStyle name="Hyperlink" xfId="51" builtinId="8"/>
    <cellStyle name="Normaallaad 2" xfId="1" xr:uid="{00000000-0005-0000-0000-00001E000000}"/>
    <cellStyle name="Normaallaad 2 2" xfId="36" xr:uid="{00000000-0005-0000-0000-00001F000000}"/>
    <cellStyle name="Normaallaad 3" xfId="2" xr:uid="{00000000-0005-0000-0000-000020000000}"/>
    <cellStyle name="Normaallaad 3 2" xfId="45" xr:uid="{E678592D-6A06-49C8-8A9E-D233C66DF823}"/>
    <cellStyle name="Normaallaad 4" xfId="35" xr:uid="{00000000-0005-0000-0000-000021000000}"/>
    <cellStyle name="Normaallaad 5" xfId="38" xr:uid="{00000000-0005-0000-0000-000022000000}"/>
    <cellStyle name="Normaallaad 5 2" xfId="47" xr:uid="{163DA05C-03B8-4E68-A55B-B448096B0ABC}"/>
    <cellStyle name="Normaallaad 6" xfId="39" xr:uid="{00000000-0005-0000-0000-000023000000}"/>
    <cellStyle name="Normaallaad 6 2" xfId="48" xr:uid="{A148D0F9-FF52-4D78-88FB-06F6E3C8A184}"/>
    <cellStyle name="Normaallaad 7" xfId="41" xr:uid="{00000000-0005-0000-0000-000024000000}"/>
    <cellStyle name="Normaallaad 7 2" xfId="50" xr:uid="{B22E4FF2-7D15-46DD-B570-85CE2C5916C8}"/>
    <cellStyle name="Normal" xfId="0" builtinId="0"/>
    <cellStyle name="Normal 2" xfId="3" xr:uid="{00000000-0005-0000-0000-000026000000}"/>
    <cellStyle name="Normal 2 2" xfId="37" xr:uid="{00000000-0005-0000-0000-000027000000}"/>
    <cellStyle name="Normal 7 2" xfId="43" xr:uid="{00000000-0005-0000-0000-000028000000}"/>
    <cellStyle name="Percent" xfId="4" builtinId="5"/>
    <cellStyle name="Protsent 2" xfId="5" xr:uid="{00000000-0005-0000-0000-00002A000000}"/>
    <cellStyle name="Protsent 2 2" xfId="46" xr:uid="{417A1428-0941-4F57-9EAC-0291D67D9B36}"/>
    <cellStyle name="Protsent 3" xfId="40" xr:uid="{00000000-0005-0000-0000-00002B000000}"/>
    <cellStyle name="Protsent 3 2" xfId="49" xr:uid="{1810EBDB-F5CC-45EB-A215-170E6257AF57}"/>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nika.otsing@rtk.ee" TargetMode="External"/><Relationship Id="rId1" Type="http://schemas.openxmlformats.org/officeDocument/2006/relationships/hyperlink" Target="mailto:olga.gnezdovski@kul.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view="pageLayout" zoomScale="130" zoomScaleNormal="100" zoomScalePageLayoutView="130" workbookViewId="0">
      <selection activeCell="A55" sqref="A55:I55"/>
    </sheetView>
  </sheetViews>
  <sheetFormatPr defaultColWidth="7.54296875" defaultRowHeight="12.5"/>
  <cols>
    <col min="1" max="1" width="45.81640625" customWidth="1"/>
    <col min="2" max="2" width="10.1796875" style="11" customWidth="1"/>
    <col min="3" max="3" width="10.453125" style="11" customWidth="1"/>
    <col min="4" max="4" width="7.54296875" style="11" customWidth="1"/>
    <col min="5" max="5" width="4.7265625" style="13" customWidth="1"/>
    <col min="6" max="7" width="7.54296875" style="14" customWidth="1"/>
    <col min="8" max="8" width="0.7265625" style="8" customWidth="1"/>
    <col min="9" max="9" width="12.453125" style="8" customWidth="1"/>
    <col min="10" max="10" width="11.453125" style="8" customWidth="1"/>
  </cols>
  <sheetData>
    <row r="1" spans="1:16">
      <c r="A1" s="323" t="s">
        <v>0</v>
      </c>
      <c r="B1" s="324"/>
      <c r="C1" s="324"/>
      <c r="D1" s="324"/>
      <c r="E1" s="324"/>
      <c r="F1" s="324"/>
      <c r="G1" s="324"/>
      <c r="H1" s="324"/>
      <c r="I1" s="324"/>
    </row>
    <row r="2" spans="1:16" ht="39" customHeight="1">
      <c r="A2" s="325" t="str">
        <f>CONCATENATE("Reimbursement Request ","No. ",B11)</f>
        <v>Reimbursement Request No. 1</v>
      </c>
      <c r="B2" s="325"/>
      <c r="C2" s="325"/>
      <c r="D2" s="325"/>
      <c r="E2" s="325"/>
      <c r="F2" s="325"/>
      <c r="G2" s="325"/>
      <c r="H2" s="325"/>
      <c r="I2" s="325"/>
    </row>
    <row r="3" spans="1:16" ht="18.75" customHeight="1">
      <c r="A3" s="326" t="str">
        <f>B6</f>
        <v>Supporting Social Inclusion</v>
      </c>
      <c r="B3" s="327"/>
      <c r="C3" s="327"/>
      <c r="D3" s="327"/>
      <c r="E3" s="327"/>
      <c r="F3" s="327"/>
      <c r="G3" s="327"/>
      <c r="H3" s="327"/>
      <c r="I3" s="327"/>
    </row>
    <row r="4" spans="1:16" ht="21" customHeight="1">
      <c r="A4" s="199" t="s">
        <v>1</v>
      </c>
      <c r="B4" s="44"/>
      <c r="C4" s="44"/>
      <c r="D4" s="44"/>
      <c r="E4" s="44"/>
      <c r="F4" s="341" t="s">
        <v>2</v>
      </c>
      <c r="G4" s="342"/>
      <c r="H4" s="343"/>
      <c r="I4" s="343"/>
    </row>
    <row r="5" spans="1:16" ht="22.75" customHeight="1">
      <c r="A5" s="308" t="s">
        <v>3</v>
      </c>
      <c r="B5" s="336"/>
      <c r="C5" s="336"/>
      <c r="D5" s="336"/>
      <c r="E5" s="336"/>
      <c r="F5" s="336"/>
      <c r="G5" s="336"/>
      <c r="H5" s="336"/>
      <c r="I5" s="337"/>
    </row>
    <row r="6" spans="1:16" ht="28.9" customHeight="1">
      <c r="A6" s="89" t="s">
        <v>4</v>
      </c>
      <c r="B6" s="333" t="s">
        <v>5</v>
      </c>
      <c r="C6" s="334"/>
      <c r="D6" s="334"/>
      <c r="E6" s="334"/>
      <c r="F6" s="334"/>
      <c r="G6" s="334"/>
      <c r="H6" s="334"/>
      <c r="I6" s="335"/>
    </row>
    <row r="7" spans="1:16" ht="14.25" customHeight="1">
      <c r="A7" s="90" t="s">
        <v>6</v>
      </c>
      <c r="B7" s="256"/>
      <c r="C7" s="256"/>
      <c r="D7" s="256"/>
      <c r="E7" s="256"/>
      <c r="F7" s="256" t="s">
        <v>7</v>
      </c>
      <c r="G7" s="256"/>
      <c r="H7" s="256"/>
      <c r="I7" s="256"/>
    </row>
    <row r="8" spans="1:16" s="9" customFormat="1" ht="14.25" customHeight="1">
      <c r="A8" s="91" t="s">
        <v>8</v>
      </c>
      <c r="B8" s="88" t="s">
        <v>9</v>
      </c>
      <c r="C8" s="338">
        <v>45444</v>
      </c>
      <c r="D8" s="257"/>
      <c r="E8" s="85" t="s">
        <v>10</v>
      </c>
      <c r="F8" s="338">
        <v>46996</v>
      </c>
      <c r="G8" s="257"/>
      <c r="H8" s="339"/>
      <c r="I8" s="340"/>
      <c r="J8" s="40"/>
    </row>
    <row r="9" spans="1:16" ht="14.25" customHeight="1">
      <c r="A9" s="92" t="s">
        <v>11</v>
      </c>
      <c r="B9" s="332" t="s">
        <v>12</v>
      </c>
      <c r="C9" s="332"/>
      <c r="D9" s="332"/>
      <c r="E9" s="332"/>
      <c r="F9" s="332"/>
      <c r="G9" s="332"/>
      <c r="H9" s="332"/>
      <c r="I9" s="332"/>
    </row>
    <row r="10" spans="1:16" s="12" customFormat="1" ht="14.25" customHeight="1">
      <c r="A10" s="93" t="s">
        <v>13</v>
      </c>
      <c r="B10" s="87" t="s">
        <v>9</v>
      </c>
      <c r="C10" s="328">
        <f>_xlfn.XLOOKUP(CONCATENATE(B11,"c"),'Financial Progress'!A5:DB5,'Financial Progress'!A6:DB6)</f>
        <v>45444</v>
      </c>
      <c r="D10" s="329"/>
      <c r="E10" s="86" t="s">
        <v>10</v>
      </c>
      <c r="F10" s="328">
        <f>_xlfn.XLOOKUP(CONCATENATE(B11,"d"),'Financial Progress'!A5:DB5,'Financial Progress'!A6:DB6)</f>
        <v>45657</v>
      </c>
      <c r="G10" s="329"/>
      <c r="H10" s="330"/>
      <c r="I10" s="331"/>
    </row>
    <row r="11" spans="1:16" ht="14.25" customHeight="1">
      <c r="A11" s="126" t="s">
        <v>14</v>
      </c>
      <c r="B11" s="298">
        <v>1</v>
      </c>
      <c r="C11" s="298"/>
      <c r="D11" s="298"/>
      <c r="E11" s="298"/>
      <c r="F11" s="298"/>
      <c r="G11" s="298"/>
      <c r="H11" s="298"/>
      <c r="I11" s="298"/>
    </row>
    <row r="12" spans="1:16" ht="15" customHeight="1">
      <c r="A12" s="90" t="s">
        <v>15</v>
      </c>
      <c r="B12" s="313">
        <f>'Financial Progress'!C39</f>
        <v>22671890.112400003</v>
      </c>
      <c r="C12" s="314"/>
      <c r="D12" s="314"/>
      <c r="E12" s="166" t="s">
        <v>16</v>
      </c>
      <c r="F12" s="94"/>
      <c r="G12" s="95"/>
      <c r="H12" s="95"/>
      <c r="I12" s="96"/>
      <c r="J12" s="10"/>
      <c r="K12" s="10"/>
      <c r="L12" s="10"/>
      <c r="M12" s="10"/>
      <c r="N12" s="10"/>
      <c r="O12" s="10"/>
      <c r="P12" s="11"/>
    </row>
    <row r="13" spans="1:16" ht="14.25" customHeight="1">
      <c r="A13" s="90" t="s">
        <v>17</v>
      </c>
      <c r="B13" s="303">
        <v>18600000</v>
      </c>
      <c r="C13" s="304"/>
      <c r="D13" s="127" t="s">
        <v>18</v>
      </c>
      <c r="E13" s="311"/>
      <c r="F13" s="312"/>
      <c r="G13" s="312"/>
      <c r="H13" s="312"/>
      <c r="I13" s="158"/>
    </row>
    <row r="14" spans="1:16" ht="14.25" customHeight="1">
      <c r="A14" s="97" t="s">
        <v>19</v>
      </c>
      <c r="B14" s="198" t="s">
        <v>20</v>
      </c>
      <c r="C14" s="195"/>
      <c r="D14" s="196">
        <f>'Financial Progress'!E39*'Financial Progress'!C9/'Financial Progress'!C39</f>
        <v>0.85000000019671929</v>
      </c>
      <c r="E14" s="319" t="s">
        <v>21</v>
      </c>
      <c r="F14" s="320"/>
      <c r="G14" s="320"/>
      <c r="H14" s="197"/>
      <c r="I14" s="189">
        <f>'Financial Progress'!BN39/'Financial Progress'!BM39</f>
        <v>0.85</v>
      </c>
    </row>
    <row r="15" spans="1:16" ht="14.25" customHeight="1">
      <c r="A15" s="97" t="s">
        <v>22</v>
      </c>
      <c r="B15" s="167" t="s">
        <v>23</v>
      </c>
      <c r="C15" s="305">
        <f>_xlfn.XLOOKUP(CONCATENATE(B11,"a"),'Financial Progress'!A5:BI5,'Financial Progress'!A9:BI9)</f>
        <v>1</v>
      </c>
      <c r="D15" s="306"/>
      <c r="E15" s="307" t="s">
        <v>24</v>
      </c>
      <c r="F15" s="307"/>
      <c r="G15" s="307"/>
      <c r="H15" s="307"/>
      <c r="I15" s="249"/>
    </row>
    <row r="16" spans="1:16" ht="21.25" customHeight="1">
      <c r="A16" s="63"/>
      <c r="B16" s="64"/>
      <c r="E16" s="11"/>
      <c r="F16" s="11"/>
      <c r="G16" s="11"/>
      <c r="H16" s="11"/>
      <c r="I16" s="65"/>
    </row>
    <row r="17" spans="1:10" ht="14.25" customHeight="1">
      <c r="A17" s="308" t="s">
        <v>25</v>
      </c>
      <c r="B17" s="309"/>
      <c r="C17" s="309"/>
      <c r="D17" s="309"/>
      <c r="E17" s="309"/>
      <c r="F17" s="309"/>
      <c r="G17" s="309"/>
      <c r="H17" s="309"/>
      <c r="I17" s="310"/>
    </row>
    <row r="18" spans="1:10" s="9" customFormat="1" ht="14.25" customHeight="1">
      <c r="A18" s="66" t="s">
        <v>26</v>
      </c>
      <c r="B18" s="317">
        <f>_xlfn.XLOOKUP(CONCATENATE(B11,"a"),'Financial Progress'!A5:DB5,'Financial Progress'!A39:DB39)</f>
        <v>37535</v>
      </c>
      <c r="C18" s="318"/>
      <c r="D18" s="318"/>
      <c r="E18" s="67" t="str">
        <f>E12</f>
        <v>EUR</v>
      </c>
      <c r="F18" s="317">
        <f>_xlfn.XLOOKUP(CONCATENATE(B11,"b"),'Financial Progress'!A5:DB5,'Financial Progress'!A39:DB39)</f>
        <v>37535</v>
      </c>
      <c r="G18" s="318"/>
      <c r="H18" s="318"/>
      <c r="I18" s="68" t="s">
        <v>18</v>
      </c>
      <c r="J18" s="40"/>
    </row>
    <row r="19" spans="1:10" ht="14.25" customHeight="1">
      <c r="A19" s="69" t="s">
        <v>27</v>
      </c>
      <c r="B19" s="321">
        <f>ROUND(F19*C15,2)</f>
        <v>5630.25</v>
      </c>
      <c r="C19" s="322"/>
      <c r="D19" s="322"/>
      <c r="E19" s="67" t="str">
        <f>E12</f>
        <v>EUR</v>
      </c>
      <c r="F19" s="321">
        <f>_xlfn.XLOOKUP(CONCATENATE(B11,"c"),'Financial Progress'!A5:DB5,'Financial Progress'!A39:DB39)</f>
        <v>5630.25</v>
      </c>
      <c r="G19" s="322"/>
      <c r="H19" s="322"/>
      <c r="I19" s="68" t="s">
        <v>18</v>
      </c>
    </row>
    <row r="20" spans="1:10" ht="14.25" customHeight="1">
      <c r="A20" s="69" t="s">
        <v>28</v>
      </c>
      <c r="B20" s="301">
        <v>0</v>
      </c>
      <c r="C20" s="302"/>
      <c r="D20" s="302"/>
      <c r="E20" s="111" t="str">
        <f>E12</f>
        <v>EUR</v>
      </c>
      <c r="F20" s="315">
        <v>0</v>
      </c>
      <c r="G20" s="316"/>
      <c r="H20" s="316"/>
      <c r="I20" s="68" t="s">
        <v>18</v>
      </c>
    </row>
    <row r="21" spans="1:10" s="39" customFormat="1" ht="14.25" customHeight="1">
      <c r="A21" s="70" t="s">
        <v>29</v>
      </c>
      <c r="B21" s="299">
        <f>B18-B19-B20</f>
        <v>31904.75</v>
      </c>
      <c r="C21" s="300"/>
      <c r="D21" s="300"/>
      <c r="E21" s="71" t="str">
        <f>E12</f>
        <v>EUR</v>
      </c>
      <c r="F21" s="299">
        <f>_xlfn.XLOOKUP(CONCATENATE(B11,"d"),'Financial Progress'!A5:DB5,'Financial Progress'!A39:DB39)-F20</f>
        <v>31904.75</v>
      </c>
      <c r="G21" s="300"/>
      <c r="H21" s="300"/>
      <c r="I21" s="72" t="s">
        <v>18</v>
      </c>
      <c r="J21" s="38"/>
    </row>
    <row r="22" spans="1:10" ht="21.25" customHeight="1">
      <c r="A22" s="63"/>
      <c r="B22" s="64"/>
      <c r="E22" s="11"/>
      <c r="F22" s="11"/>
      <c r="G22" s="11"/>
      <c r="H22" s="11"/>
      <c r="I22" s="65"/>
    </row>
    <row r="23" spans="1:10" ht="15.5">
      <c r="A23" s="308" t="s">
        <v>30</v>
      </c>
      <c r="B23" s="336"/>
      <c r="C23" s="336"/>
      <c r="D23" s="336"/>
      <c r="E23" s="336"/>
      <c r="F23" s="336"/>
      <c r="G23" s="336"/>
      <c r="H23" s="336"/>
      <c r="I23" s="337"/>
    </row>
    <row r="24" spans="1:10">
      <c r="A24" s="66" t="s">
        <v>31</v>
      </c>
      <c r="B24" s="321">
        <f>B13</f>
        <v>18600000</v>
      </c>
      <c r="C24" s="322"/>
      <c r="D24" s="322"/>
      <c r="E24" s="68" t="s">
        <v>18</v>
      </c>
      <c r="F24" s="344">
        <v>1</v>
      </c>
      <c r="G24" s="345"/>
      <c r="H24" s="345"/>
      <c r="I24" s="346"/>
    </row>
    <row r="25" spans="1:10">
      <c r="A25" s="69" t="s">
        <v>32</v>
      </c>
      <c r="B25" s="301">
        <v>0</v>
      </c>
      <c r="C25" s="347"/>
      <c r="D25" s="347"/>
      <c r="E25" s="68" t="s">
        <v>18</v>
      </c>
      <c r="F25" s="344">
        <f>ROUND(B25/$B$24,4)</f>
        <v>0</v>
      </c>
      <c r="G25" s="345"/>
      <c r="H25" s="345"/>
      <c r="I25" s="346"/>
    </row>
    <row r="26" spans="1:10">
      <c r="A26" s="69" t="s">
        <v>33</v>
      </c>
      <c r="B26" s="348">
        <f>B24-B25</f>
        <v>18600000</v>
      </c>
      <c r="C26" s="349"/>
      <c r="D26" s="349"/>
      <c r="E26" s="73" t="s">
        <v>18</v>
      </c>
      <c r="F26" s="344">
        <f>ROUND(B26/$B$24,4)</f>
        <v>1</v>
      </c>
      <c r="G26" s="345"/>
      <c r="H26" s="345"/>
      <c r="I26" s="346"/>
    </row>
    <row r="27" spans="1:10">
      <c r="A27" s="74" t="s">
        <v>34</v>
      </c>
      <c r="B27" s="348">
        <f>F21</f>
        <v>31904.75</v>
      </c>
      <c r="C27" s="349"/>
      <c r="D27" s="349"/>
      <c r="E27" s="73" t="s">
        <v>18</v>
      </c>
      <c r="F27" s="344">
        <f>ROUND(B27/$B$24,4)</f>
        <v>1.6999999999999999E-3</v>
      </c>
      <c r="G27" s="345"/>
      <c r="H27" s="345"/>
      <c r="I27" s="346"/>
    </row>
    <row r="28" spans="1:10" ht="14.25" customHeight="1">
      <c r="A28" s="70" t="s">
        <v>35</v>
      </c>
      <c r="B28" s="299">
        <f>B26-B27</f>
        <v>18568095.25</v>
      </c>
      <c r="C28" s="300"/>
      <c r="D28" s="300"/>
      <c r="E28" s="72" t="s">
        <v>18</v>
      </c>
      <c r="F28" s="350">
        <f>B28/$B$24</f>
        <v>0.9982846908602151</v>
      </c>
      <c r="G28" s="351"/>
      <c r="H28" s="351"/>
      <c r="I28" s="352"/>
    </row>
    <row r="29" spans="1:10" ht="37.5" hidden="1" customHeight="1">
      <c r="A29" s="75"/>
      <c r="B29" s="76"/>
      <c r="C29" s="76"/>
      <c r="D29" s="76"/>
      <c r="E29" s="75"/>
      <c r="F29" s="77"/>
      <c r="G29" s="77"/>
      <c r="H29" s="77"/>
      <c r="I29" s="77"/>
    </row>
    <row r="30" spans="1:10" ht="21.25" customHeight="1">
      <c r="A30" s="63"/>
      <c r="B30" s="64"/>
      <c r="E30" s="11"/>
      <c r="F30" s="11"/>
      <c r="G30" s="11"/>
      <c r="H30" s="11"/>
      <c r="I30" s="65"/>
    </row>
    <row r="31" spans="1:10" ht="15.5">
      <c r="A31" s="308" t="s">
        <v>36</v>
      </c>
      <c r="B31" s="336"/>
      <c r="C31" s="336"/>
      <c r="D31" s="336"/>
      <c r="E31" s="336"/>
      <c r="F31" s="336"/>
      <c r="G31" s="336"/>
      <c r="H31" s="336"/>
      <c r="I31" s="337"/>
    </row>
    <row r="32" spans="1:10" ht="16.5" customHeight="1">
      <c r="A32" s="353" t="s">
        <v>37</v>
      </c>
      <c r="B32" s="354"/>
      <c r="C32" s="281"/>
      <c r="D32" s="281"/>
      <c r="E32" s="281"/>
      <c r="F32" s="281"/>
      <c r="G32" s="281"/>
      <c r="H32" s="281"/>
      <c r="I32" s="282"/>
    </row>
    <row r="33" spans="1:10">
      <c r="A33" s="112" t="s">
        <v>38</v>
      </c>
      <c r="B33" s="255" t="s">
        <v>12</v>
      </c>
      <c r="C33" s="255"/>
      <c r="D33" s="255"/>
      <c r="E33" s="256"/>
      <c r="F33" s="256"/>
      <c r="G33" s="256"/>
      <c r="H33" s="256"/>
      <c r="I33" s="256"/>
      <c r="J33"/>
    </row>
    <row r="34" spans="1:10">
      <c r="A34" s="113" t="s">
        <v>39</v>
      </c>
      <c r="B34" s="257" t="s">
        <v>40</v>
      </c>
      <c r="C34" s="257"/>
      <c r="D34" s="257"/>
      <c r="E34" s="257"/>
      <c r="F34" s="257"/>
      <c r="G34" s="257"/>
      <c r="H34" s="257"/>
      <c r="I34" s="255"/>
      <c r="J34"/>
    </row>
    <row r="35" spans="1:10" ht="12.75" customHeight="1">
      <c r="A35" s="277"/>
      <c r="B35" s="278"/>
      <c r="C35" s="278"/>
      <c r="D35" s="278"/>
      <c r="E35" s="278"/>
      <c r="F35" s="278"/>
      <c r="G35" s="278"/>
      <c r="H35" s="278"/>
      <c r="I35" s="279"/>
      <c r="J35"/>
    </row>
    <row r="36" spans="1:10" ht="14.25" customHeight="1">
      <c r="A36" s="114" t="s">
        <v>41</v>
      </c>
      <c r="B36" s="257" t="s">
        <v>42</v>
      </c>
      <c r="C36" s="257"/>
      <c r="D36" s="257"/>
      <c r="E36" s="257"/>
      <c r="F36" s="257"/>
      <c r="G36" s="257"/>
      <c r="H36" s="257"/>
      <c r="I36" s="255"/>
      <c r="J36"/>
    </row>
    <row r="37" spans="1:10" ht="14.25" customHeight="1">
      <c r="A37" s="114" t="s">
        <v>43</v>
      </c>
      <c r="B37" s="257" t="s">
        <v>44</v>
      </c>
      <c r="C37" s="257"/>
      <c r="D37" s="257"/>
      <c r="E37" s="257"/>
      <c r="F37" s="257"/>
      <c r="G37" s="257"/>
      <c r="H37" s="257"/>
      <c r="I37" s="255"/>
      <c r="J37"/>
    </row>
    <row r="38" spans="1:10" ht="14.25" customHeight="1">
      <c r="A38" s="114" t="s">
        <v>45</v>
      </c>
      <c r="B38" s="286" t="s">
        <v>46</v>
      </c>
      <c r="C38" s="257"/>
      <c r="D38" s="257"/>
      <c r="E38" s="257"/>
      <c r="F38" s="257"/>
      <c r="G38" s="257"/>
      <c r="H38" s="257"/>
      <c r="I38" s="255"/>
      <c r="J38"/>
    </row>
    <row r="39" spans="1:10" ht="14.25" customHeight="1">
      <c r="A39" s="114" t="s">
        <v>47</v>
      </c>
      <c r="B39" s="261" t="s">
        <v>48</v>
      </c>
      <c r="C39" s="257"/>
      <c r="D39" s="257"/>
      <c r="E39" s="257"/>
      <c r="F39" s="257"/>
      <c r="G39" s="257"/>
      <c r="H39" s="257"/>
      <c r="I39" s="255"/>
      <c r="J39"/>
    </row>
    <row r="40" spans="1:10" ht="14.25" customHeight="1">
      <c r="A40" s="274"/>
      <c r="B40" s="275"/>
      <c r="C40" s="275"/>
      <c r="D40" s="275"/>
      <c r="E40" s="275"/>
      <c r="F40" s="275"/>
      <c r="G40" s="275"/>
      <c r="H40" s="275"/>
      <c r="I40" s="276"/>
      <c r="J40"/>
    </row>
    <row r="41" spans="1:10" ht="15" customHeight="1">
      <c r="A41" s="287" t="s">
        <v>49</v>
      </c>
      <c r="B41" s="288"/>
      <c r="C41" s="288"/>
      <c r="D41" s="288"/>
      <c r="E41" s="288"/>
      <c r="F41" s="288"/>
      <c r="G41" s="288"/>
      <c r="H41" s="288"/>
      <c r="I41" s="289"/>
      <c r="J41"/>
    </row>
    <row r="42" spans="1:10" ht="115.5" customHeight="1">
      <c r="A42" s="283" t="s">
        <v>50</v>
      </c>
      <c r="B42" s="284"/>
      <c r="C42" s="284"/>
      <c r="D42" s="284"/>
      <c r="E42" s="284"/>
      <c r="F42" s="284"/>
      <c r="G42" s="284"/>
      <c r="H42" s="284"/>
      <c r="I42" s="285"/>
      <c r="J42"/>
    </row>
    <row r="43" spans="1:10" ht="14.25" customHeight="1">
      <c r="A43" s="224" t="s">
        <v>51</v>
      </c>
      <c r="B43" s="115" t="s">
        <v>52</v>
      </c>
      <c r="C43" s="258" t="s">
        <v>53</v>
      </c>
      <c r="D43" s="259"/>
      <c r="E43" s="259"/>
      <c r="F43" s="259"/>
      <c r="G43" s="259"/>
      <c r="H43" s="259"/>
      <c r="I43" s="260"/>
      <c r="J43"/>
    </row>
    <row r="44" spans="1:10" ht="50.25" customHeight="1">
      <c r="A44" s="116" t="s">
        <v>54</v>
      </c>
      <c r="B44" s="268" t="s">
        <v>55</v>
      </c>
      <c r="C44" s="269"/>
      <c r="D44" s="269"/>
      <c r="E44" s="269"/>
      <c r="F44" s="269"/>
      <c r="G44" s="269"/>
      <c r="H44" s="269"/>
      <c r="I44" s="270"/>
      <c r="J44"/>
    </row>
    <row r="45" spans="1:10" ht="17.25" customHeight="1">
      <c r="A45" s="280" t="s">
        <v>56</v>
      </c>
      <c r="B45" s="281"/>
      <c r="C45" s="281"/>
      <c r="D45" s="281"/>
      <c r="E45" s="281"/>
      <c r="F45" s="281"/>
      <c r="G45" s="281"/>
      <c r="H45" s="281"/>
      <c r="I45" s="282"/>
      <c r="J45"/>
    </row>
    <row r="46" spans="1:10" ht="32.5" customHeight="1">
      <c r="A46" s="112" t="s">
        <v>38</v>
      </c>
      <c r="B46" s="255" t="s">
        <v>57</v>
      </c>
      <c r="C46" s="255"/>
      <c r="D46" s="255"/>
      <c r="E46" s="256"/>
      <c r="F46" s="256"/>
      <c r="G46" s="256"/>
      <c r="H46" s="256"/>
      <c r="I46" s="256"/>
      <c r="J46"/>
    </row>
    <row r="47" spans="1:10" ht="15" customHeight="1">
      <c r="A47" s="113" t="s">
        <v>39</v>
      </c>
      <c r="B47" s="257" t="s">
        <v>58</v>
      </c>
      <c r="C47" s="257"/>
      <c r="D47" s="257"/>
      <c r="E47" s="257"/>
      <c r="F47" s="257"/>
      <c r="G47" s="257"/>
      <c r="H47" s="257"/>
      <c r="I47" s="255"/>
      <c r="J47"/>
    </row>
    <row r="48" spans="1:10" ht="16.149999999999999" customHeight="1">
      <c r="A48" s="277"/>
      <c r="B48" s="278"/>
      <c r="C48" s="278"/>
      <c r="D48" s="278"/>
      <c r="E48" s="278"/>
      <c r="F48" s="278"/>
      <c r="G48" s="278"/>
      <c r="H48" s="278"/>
      <c r="I48" s="279"/>
      <c r="J48"/>
    </row>
    <row r="49" spans="1:10" ht="16.5" customHeight="1">
      <c r="A49" s="114" t="s">
        <v>41</v>
      </c>
      <c r="B49" s="257" t="s">
        <v>59</v>
      </c>
      <c r="C49" s="257"/>
      <c r="D49" s="257"/>
      <c r="E49" s="257"/>
      <c r="F49" s="257"/>
      <c r="G49" s="257"/>
      <c r="H49" s="257"/>
      <c r="I49" s="255"/>
      <c r="J49"/>
    </row>
    <row r="50" spans="1:10">
      <c r="A50" s="114" t="s">
        <v>43</v>
      </c>
      <c r="B50" s="257" t="s">
        <v>60</v>
      </c>
      <c r="C50" s="257"/>
      <c r="D50" s="257"/>
      <c r="E50" s="257"/>
      <c r="F50" s="257"/>
      <c r="G50" s="257"/>
      <c r="H50" s="257"/>
      <c r="I50" s="255"/>
      <c r="J50"/>
    </row>
    <row r="51" spans="1:10">
      <c r="A51" s="114" t="s">
        <v>45</v>
      </c>
      <c r="B51" s="257" t="s">
        <v>61</v>
      </c>
      <c r="C51" s="257"/>
      <c r="D51" s="257"/>
      <c r="E51" s="257"/>
      <c r="F51" s="257"/>
      <c r="G51" s="257"/>
      <c r="H51" s="257"/>
      <c r="I51" s="255"/>
      <c r="J51"/>
    </row>
    <row r="52" spans="1:10">
      <c r="A52" s="114" t="s">
        <v>47</v>
      </c>
      <c r="B52" s="261" t="s">
        <v>62</v>
      </c>
      <c r="C52" s="257"/>
      <c r="D52" s="257"/>
      <c r="E52" s="257"/>
      <c r="F52" s="257"/>
      <c r="G52" s="257"/>
      <c r="H52" s="257"/>
      <c r="I52" s="255"/>
      <c r="J52"/>
    </row>
    <row r="53" spans="1:10">
      <c r="A53" s="274"/>
      <c r="B53" s="275"/>
      <c r="C53" s="275"/>
      <c r="D53" s="275"/>
      <c r="E53" s="275"/>
      <c r="F53" s="275"/>
      <c r="G53" s="275"/>
      <c r="H53" s="275"/>
      <c r="I53" s="276"/>
      <c r="J53"/>
    </row>
    <row r="54" spans="1:10" ht="13.5" customHeight="1">
      <c r="A54" s="271" t="s">
        <v>63</v>
      </c>
      <c r="B54" s="272"/>
      <c r="C54" s="272"/>
      <c r="D54" s="272"/>
      <c r="E54" s="272"/>
      <c r="F54" s="272"/>
      <c r="G54" s="272"/>
      <c r="H54" s="272"/>
      <c r="I54" s="273"/>
      <c r="J54"/>
    </row>
    <row r="55" spans="1:10" ht="97.5" customHeight="1">
      <c r="A55" s="265" t="s">
        <v>350</v>
      </c>
      <c r="B55" s="266"/>
      <c r="C55" s="266"/>
      <c r="D55" s="266"/>
      <c r="E55" s="266"/>
      <c r="F55" s="266"/>
      <c r="G55" s="266"/>
      <c r="H55" s="266"/>
      <c r="I55" s="267"/>
      <c r="J55"/>
    </row>
    <row r="56" spans="1:10">
      <c r="A56" s="225" t="s">
        <v>64</v>
      </c>
      <c r="B56" s="78" t="s">
        <v>52</v>
      </c>
      <c r="C56" s="262" t="s">
        <v>65</v>
      </c>
      <c r="D56" s="263"/>
      <c r="E56" s="263"/>
      <c r="F56" s="263"/>
      <c r="G56" s="263"/>
      <c r="H56" s="263"/>
      <c r="I56" s="264"/>
      <c r="J56"/>
    </row>
    <row r="57" spans="1:10" ht="50.25" customHeight="1">
      <c r="A57" s="79" t="s">
        <v>66</v>
      </c>
      <c r="B57" s="268" t="s">
        <v>55</v>
      </c>
      <c r="C57" s="269"/>
      <c r="D57" s="269"/>
      <c r="E57" s="269"/>
      <c r="F57" s="269"/>
      <c r="G57" s="269"/>
      <c r="H57" s="269"/>
      <c r="I57" s="270"/>
      <c r="J57"/>
    </row>
    <row r="58" spans="1:10" ht="13">
      <c r="A58" s="80" t="s">
        <v>67</v>
      </c>
      <c r="B58" s="81"/>
      <c r="C58" s="81"/>
      <c r="D58" s="81"/>
      <c r="E58" s="81"/>
      <c r="F58" s="81"/>
      <c r="G58" s="81"/>
      <c r="H58" s="81"/>
      <c r="I58" s="82"/>
      <c r="J58"/>
    </row>
    <row r="59" spans="1:10" ht="13.5" customHeight="1">
      <c r="A59" s="112" t="s">
        <v>38</v>
      </c>
      <c r="B59" s="295" t="s">
        <v>57</v>
      </c>
      <c r="C59" s="295"/>
      <c r="D59" s="295"/>
      <c r="E59" s="295"/>
      <c r="F59" s="295"/>
      <c r="G59" s="295"/>
      <c r="H59" s="295"/>
      <c r="I59" s="295"/>
      <c r="J59"/>
    </row>
    <row r="60" spans="1:10">
      <c r="A60" s="112" t="s">
        <v>39</v>
      </c>
      <c r="B60" s="295" t="s">
        <v>58</v>
      </c>
      <c r="C60" s="295"/>
      <c r="D60" s="295"/>
      <c r="E60" s="295"/>
      <c r="F60" s="295"/>
      <c r="G60" s="295"/>
      <c r="H60" s="295"/>
      <c r="I60" s="295"/>
      <c r="J60"/>
    </row>
    <row r="61" spans="1:10">
      <c r="A61" s="277"/>
      <c r="B61" s="290"/>
      <c r="C61" s="290"/>
      <c r="D61" s="290"/>
      <c r="E61" s="290"/>
      <c r="F61" s="290"/>
      <c r="G61" s="290"/>
      <c r="H61" s="290"/>
      <c r="I61" s="291"/>
      <c r="J61"/>
    </row>
    <row r="62" spans="1:10" ht="15.75" customHeight="1">
      <c r="A62" s="114" t="s">
        <v>41</v>
      </c>
      <c r="B62" s="295" t="s">
        <v>68</v>
      </c>
      <c r="C62" s="295"/>
      <c r="D62" s="295"/>
      <c r="E62" s="295"/>
      <c r="F62" s="295"/>
      <c r="G62" s="295"/>
      <c r="H62" s="295"/>
      <c r="I62" s="295"/>
      <c r="J62"/>
    </row>
    <row r="63" spans="1:10">
      <c r="A63" s="114" t="s">
        <v>43</v>
      </c>
      <c r="B63" s="295" t="s">
        <v>69</v>
      </c>
      <c r="C63" s="295"/>
      <c r="D63" s="295"/>
      <c r="E63" s="295"/>
      <c r="F63" s="295"/>
      <c r="G63" s="295"/>
      <c r="H63" s="295"/>
      <c r="I63" s="295"/>
    </row>
    <row r="64" spans="1:10" ht="14.25" customHeight="1">
      <c r="A64" s="114" t="s">
        <v>45</v>
      </c>
      <c r="B64" s="296" t="s">
        <v>70</v>
      </c>
      <c r="C64" s="296"/>
      <c r="D64" s="296"/>
      <c r="E64" s="296"/>
      <c r="F64" s="296"/>
      <c r="G64" s="296"/>
      <c r="H64" s="296"/>
      <c r="I64" s="296"/>
      <c r="J64"/>
    </row>
    <row r="65" spans="1:10">
      <c r="A65" s="114" t="s">
        <v>47</v>
      </c>
      <c r="B65" s="297" t="s">
        <v>71</v>
      </c>
      <c r="C65" s="295"/>
      <c r="D65" s="295"/>
      <c r="E65" s="295"/>
      <c r="F65" s="295"/>
      <c r="G65" s="295"/>
      <c r="H65" s="295"/>
      <c r="I65" s="295"/>
    </row>
    <row r="66" spans="1:10">
      <c r="A66" s="114"/>
      <c r="B66" s="117"/>
      <c r="C66" s="117"/>
      <c r="D66" s="117"/>
      <c r="E66" s="117"/>
      <c r="F66" s="117"/>
      <c r="G66" s="117"/>
      <c r="H66" s="117"/>
      <c r="I66" s="118"/>
    </row>
    <row r="67" spans="1:10">
      <c r="A67" s="62" t="s">
        <v>72</v>
      </c>
      <c r="B67" s="83"/>
      <c r="C67" s="83"/>
      <c r="D67" s="83"/>
      <c r="E67" s="83"/>
      <c r="F67" s="83"/>
      <c r="G67" s="83"/>
      <c r="H67" s="83"/>
      <c r="I67" s="84"/>
    </row>
    <row r="68" spans="1:10" ht="117.75" customHeight="1">
      <c r="A68" s="292" t="s">
        <v>73</v>
      </c>
      <c r="B68" s="293"/>
      <c r="C68" s="293"/>
      <c r="D68" s="293"/>
      <c r="E68" s="293"/>
      <c r="F68" s="293"/>
      <c r="G68" s="293"/>
      <c r="H68" s="293"/>
      <c r="I68" s="294"/>
    </row>
    <row r="69" spans="1:10" ht="13">
      <c r="A69" s="226" t="s">
        <v>74</v>
      </c>
      <c r="B69" s="119"/>
      <c r="C69" s="119"/>
      <c r="D69" s="119"/>
      <c r="E69" s="119"/>
      <c r="F69" s="119"/>
      <c r="G69" s="119"/>
      <c r="H69" s="119"/>
      <c r="I69" s="120"/>
      <c r="J69" s="251"/>
    </row>
    <row r="70" spans="1:10" ht="13">
      <c r="A70" s="227" t="s">
        <v>75</v>
      </c>
      <c r="B70" s="121"/>
      <c r="C70" s="121"/>
      <c r="D70" s="121"/>
      <c r="E70" s="121"/>
      <c r="F70" s="121"/>
      <c r="G70" s="121"/>
      <c r="H70" s="121"/>
      <c r="I70" s="122"/>
      <c r="J70" s="251"/>
    </row>
    <row r="71" spans="1:10" ht="13">
      <c r="A71" s="227" t="s">
        <v>76</v>
      </c>
      <c r="B71" s="121"/>
      <c r="C71" s="121"/>
      <c r="D71" s="121"/>
      <c r="E71" s="121"/>
      <c r="F71" s="121"/>
      <c r="G71" s="121"/>
      <c r="H71" s="121"/>
      <c r="I71" s="122"/>
      <c r="J71" s="251"/>
    </row>
    <row r="72" spans="1:10" ht="13">
      <c r="A72" s="227" t="s">
        <v>77</v>
      </c>
      <c r="B72" s="121"/>
      <c r="C72" s="121"/>
      <c r="D72" s="121"/>
      <c r="E72" s="121"/>
      <c r="F72" s="121"/>
      <c r="G72" s="121"/>
      <c r="H72" s="121"/>
      <c r="I72" s="122"/>
      <c r="J72" s="251"/>
    </row>
    <row r="73" spans="1:10" ht="13">
      <c r="A73" s="227" t="s">
        <v>78</v>
      </c>
      <c r="B73" s="123"/>
      <c r="C73" s="123"/>
      <c r="D73" s="123"/>
      <c r="E73" s="121"/>
      <c r="F73" s="124"/>
      <c r="G73" s="124"/>
      <c r="H73" s="124"/>
      <c r="I73" s="125"/>
      <c r="J73" s="251"/>
    </row>
    <row r="74" spans="1:10">
      <c r="A74" s="224" t="s">
        <v>79</v>
      </c>
      <c r="B74" s="115" t="s">
        <v>52</v>
      </c>
      <c r="C74" s="258" t="s">
        <v>80</v>
      </c>
      <c r="D74" s="259"/>
      <c r="E74" s="259"/>
      <c r="F74" s="259"/>
      <c r="G74" s="259"/>
      <c r="H74" s="259"/>
      <c r="I74" s="260"/>
      <c r="J74" s="251"/>
    </row>
    <row r="75" spans="1:10" ht="50.25" customHeight="1">
      <c r="A75" s="116" t="s">
        <v>66</v>
      </c>
      <c r="B75" s="268" t="s">
        <v>55</v>
      </c>
      <c r="C75" s="269"/>
      <c r="D75" s="269"/>
      <c r="E75" s="269"/>
      <c r="F75" s="269"/>
      <c r="G75" s="269"/>
      <c r="H75" s="269"/>
      <c r="I75" s="270"/>
      <c r="J75" s="251"/>
    </row>
    <row r="77" spans="1:10">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A23:I23"/>
    <mergeCell ref="A35:I35"/>
    <mergeCell ref="F19:H19"/>
    <mergeCell ref="B24:D24"/>
    <mergeCell ref="F24:I24"/>
    <mergeCell ref="B25:D25"/>
    <mergeCell ref="B34:I34"/>
    <mergeCell ref="F25:I25"/>
    <mergeCell ref="F27:I27"/>
    <mergeCell ref="F26:I26"/>
    <mergeCell ref="B27:D27"/>
    <mergeCell ref="B26:D26"/>
    <mergeCell ref="B28:D28"/>
    <mergeCell ref="F28:I28"/>
    <mergeCell ref="A32:I32"/>
    <mergeCell ref="A31:I31"/>
    <mergeCell ref="A1:I1"/>
    <mergeCell ref="A2:I2"/>
    <mergeCell ref="A3:I3"/>
    <mergeCell ref="F10:I10"/>
    <mergeCell ref="F7:I7"/>
    <mergeCell ref="B7:E7"/>
    <mergeCell ref="B9:I9"/>
    <mergeCell ref="C10:D10"/>
    <mergeCell ref="B6:I6"/>
    <mergeCell ref="A5:I5"/>
    <mergeCell ref="C8:D8"/>
    <mergeCell ref="F8:I8"/>
    <mergeCell ref="F4:I4"/>
    <mergeCell ref="B11:I11"/>
    <mergeCell ref="B21:D21"/>
    <mergeCell ref="B20:D20"/>
    <mergeCell ref="B13:C13"/>
    <mergeCell ref="C15:D15"/>
    <mergeCell ref="E15:H15"/>
    <mergeCell ref="A17:I17"/>
    <mergeCell ref="E13:H13"/>
    <mergeCell ref="B12:D12"/>
    <mergeCell ref="F21:H21"/>
    <mergeCell ref="F20:H20"/>
    <mergeCell ref="B18:D18"/>
    <mergeCell ref="E14:G14"/>
    <mergeCell ref="F18:H18"/>
    <mergeCell ref="B19:D19"/>
    <mergeCell ref="B75:I75"/>
    <mergeCell ref="A61:I61"/>
    <mergeCell ref="A68:I68"/>
    <mergeCell ref="B60:I60"/>
    <mergeCell ref="B59:I59"/>
    <mergeCell ref="B62:I62"/>
    <mergeCell ref="B63:I63"/>
    <mergeCell ref="B64:I64"/>
    <mergeCell ref="B65:I65"/>
    <mergeCell ref="A45:I45"/>
    <mergeCell ref="B33:I33"/>
    <mergeCell ref="A42:I42"/>
    <mergeCell ref="B36:I36"/>
    <mergeCell ref="B37:I37"/>
    <mergeCell ref="B38:I38"/>
    <mergeCell ref="B39:I39"/>
    <mergeCell ref="C43:I43"/>
    <mergeCell ref="B44:I44"/>
    <mergeCell ref="A40:I40"/>
    <mergeCell ref="A41:I41"/>
    <mergeCell ref="B46:I46"/>
    <mergeCell ref="B47:I47"/>
    <mergeCell ref="C74:I74"/>
    <mergeCell ref="B52:I52"/>
    <mergeCell ref="B49:I49"/>
    <mergeCell ref="B50:I50"/>
    <mergeCell ref="B51:I51"/>
    <mergeCell ref="C56:I56"/>
    <mergeCell ref="A55:I55"/>
    <mergeCell ref="B57:I57"/>
    <mergeCell ref="A54:I54"/>
    <mergeCell ref="A53:I53"/>
    <mergeCell ref="A48:I48"/>
  </mergeCells>
  <phoneticPr fontId="8"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38" r:id="rId1" xr:uid="{D8AB6B06-FBAA-4DAB-BA48-59E691C6B2A5}"/>
    <hyperlink ref="B64" r:id="rId2" display="mailto:janika.otsing@rtk.ee" xr:uid="{F690F217-ED13-420A-8C55-F599A92217A5}"/>
  </hyperlinks>
  <pageMargins left="0.23622047244094491" right="0.23622047244094491" top="0.35433070866141736" bottom="0.35433070866141736" header="0.31496062992125984" footer="0.31496062992125984"/>
  <pageSetup paperSize="9" scale="85"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DL50"/>
  <sheetViews>
    <sheetView showGridLines="0" topLeftCell="A8" zoomScaleNormal="100" zoomScalePageLayoutView="85" workbookViewId="0">
      <selection activeCell="A50" sqref="A50:BV50"/>
    </sheetView>
  </sheetViews>
  <sheetFormatPr defaultColWidth="7.54296875" defaultRowHeight="12.5"/>
  <cols>
    <col min="1" max="1" width="6.26953125" style="15" customWidth="1"/>
    <col min="2" max="2" width="39.7265625" style="15" customWidth="1"/>
    <col min="3" max="3" width="11.81640625" style="15" customWidth="1"/>
    <col min="4" max="4" width="11" style="15" customWidth="1"/>
    <col min="5" max="5" width="12.54296875" style="15" customWidth="1"/>
    <col min="6" max="9" width="11" style="27" customWidth="1"/>
    <col min="10" max="61" width="11" style="27" hidden="1" customWidth="1"/>
    <col min="62" max="63" width="11" style="15" customWidth="1"/>
    <col min="64" max="64" width="14.1796875" style="15" customWidth="1"/>
    <col min="65" max="67" width="11" style="15" customWidth="1"/>
    <col min="68" max="68" width="12.453125" style="15" customWidth="1"/>
    <col min="69" max="69" width="15.7265625" style="15" customWidth="1"/>
    <col min="70" max="70" width="15.26953125" style="15" customWidth="1"/>
    <col min="71" max="71" width="12.81640625" style="17" customWidth="1"/>
    <col min="72" max="72" width="15.7265625" style="15" customWidth="1"/>
    <col min="73" max="73" width="15.26953125" style="15" customWidth="1"/>
    <col min="74" max="74" width="12.81640625" style="17" customWidth="1"/>
    <col min="75" max="75" width="12.54296875" style="17" customWidth="1"/>
    <col min="76" max="76" width="13.7265625" style="15" customWidth="1"/>
    <col min="77" max="77" width="17" style="15" customWidth="1"/>
    <col min="78" max="78" width="13.26953125" style="15" customWidth="1"/>
    <col min="79" max="79" width="12.453125" style="15" bestFit="1" customWidth="1"/>
    <col min="80" max="80" width="13.26953125" style="15" customWidth="1"/>
    <col min="81" max="16384" width="7.54296875" style="15"/>
  </cols>
  <sheetData>
    <row r="1" spans="1:80" ht="18.75" customHeight="1">
      <c r="A1" s="355" t="str">
        <f>'Reimbursement Request'!A1:I1</f>
        <v>Swiss-Estonian Cooperation Programme</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c r="BA1" s="356"/>
      <c r="BB1" s="356"/>
      <c r="BC1" s="356"/>
      <c r="BD1" s="356"/>
      <c r="BE1" s="356"/>
      <c r="BF1" s="356"/>
      <c r="BG1" s="356"/>
      <c r="BH1" s="356"/>
      <c r="BI1" s="356"/>
      <c r="BJ1" s="356"/>
      <c r="BK1" s="356"/>
      <c r="BL1" s="356"/>
      <c r="BM1" s="356"/>
      <c r="BN1" s="356"/>
      <c r="BO1" s="356"/>
      <c r="BP1" s="356"/>
      <c r="BQ1" s="356"/>
      <c r="BR1" s="356"/>
      <c r="BS1" s="356"/>
      <c r="BT1" s="356"/>
      <c r="BU1" s="356"/>
      <c r="BV1" s="356"/>
    </row>
    <row r="2" spans="1:80">
      <c r="A2" s="357" t="str">
        <f>CONCATENATE('Reimbursement Request'!A3:I3," / ",'Reimbursement Request'!A2:I2)</f>
        <v>Supporting Social Inclusion / Reimbursement Request No. 1</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row>
    <row r="3" spans="1:80" ht="20">
      <c r="A3" s="359" t="s">
        <v>81</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360"/>
      <c r="BI3" s="360"/>
      <c r="BJ3" s="360"/>
      <c r="BK3" s="360"/>
      <c r="BL3" s="360"/>
      <c r="BM3" s="360"/>
      <c r="BN3" s="360"/>
      <c r="BO3" s="360"/>
      <c r="BP3" s="360"/>
      <c r="BQ3" s="360"/>
      <c r="BR3" s="360"/>
      <c r="BS3" s="360"/>
      <c r="BT3" s="360"/>
      <c r="BU3" s="360"/>
      <c r="BV3" s="360"/>
    </row>
    <row r="4" spans="1:80" ht="13.5" customHeight="1">
      <c r="A4" s="176" t="s">
        <v>1</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384" t="s">
        <v>332</v>
      </c>
      <c r="BR4" s="385"/>
      <c r="BS4" s="386"/>
      <c r="BT4" s="377"/>
      <c r="BU4" s="378"/>
      <c r="BV4" s="379"/>
    </row>
    <row r="5" spans="1:80" s="165" customFormat="1" ht="27" hidden="1" customHeight="1">
      <c r="A5" s="159"/>
      <c r="B5" s="160"/>
      <c r="C5" s="160"/>
      <c r="D5" s="160"/>
      <c r="E5" s="160"/>
      <c r="F5" s="161" t="s">
        <v>82</v>
      </c>
      <c r="G5" s="161" t="s">
        <v>83</v>
      </c>
      <c r="H5" s="161" t="s">
        <v>84</v>
      </c>
      <c r="I5" s="161" t="s">
        <v>85</v>
      </c>
      <c r="J5" s="161" t="s">
        <v>86</v>
      </c>
      <c r="K5" s="161" t="s">
        <v>87</v>
      </c>
      <c r="L5" s="161" t="s">
        <v>88</v>
      </c>
      <c r="M5" s="161" t="s">
        <v>89</v>
      </c>
      <c r="N5" s="161" t="s">
        <v>90</v>
      </c>
      <c r="O5" s="161" t="s">
        <v>91</v>
      </c>
      <c r="P5" s="161" t="s">
        <v>92</v>
      </c>
      <c r="Q5" s="161" t="s">
        <v>93</v>
      </c>
      <c r="R5" s="161" t="s">
        <v>94</v>
      </c>
      <c r="S5" s="161" t="s">
        <v>95</v>
      </c>
      <c r="T5" s="161" t="s">
        <v>96</v>
      </c>
      <c r="U5" s="161" t="s">
        <v>97</v>
      </c>
      <c r="V5" s="161" t="s">
        <v>98</v>
      </c>
      <c r="W5" s="161" t="s">
        <v>99</v>
      </c>
      <c r="X5" s="161" t="s">
        <v>100</v>
      </c>
      <c r="Y5" s="161" t="s">
        <v>101</v>
      </c>
      <c r="Z5" s="161" t="s">
        <v>102</v>
      </c>
      <c r="AA5" s="161" t="s">
        <v>103</v>
      </c>
      <c r="AB5" s="161" t="s">
        <v>104</v>
      </c>
      <c r="AC5" s="161" t="s">
        <v>105</v>
      </c>
      <c r="AD5" s="161" t="s">
        <v>106</v>
      </c>
      <c r="AE5" s="161" t="s">
        <v>107</v>
      </c>
      <c r="AF5" s="161" t="s">
        <v>108</v>
      </c>
      <c r="AG5" s="161" t="s">
        <v>109</v>
      </c>
      <c r="AH5" s="162" t="s">
        <v>110</v>
      </c>
      <c r="AI5" s="162" t="s">
        <v>111</v>
      </c>
      <c r="AJ5" s="162" t="s">
        <v>112</v>
      </c>
      <c r="AK5" s="162" t="s">
        <v>113</v>
      </c>
      <c r="AL5" s="161" t="s">
        <v>114</v>
      </c>
      <c r="AM5" s="161" t="s">
        <v>115</v>
      </c>
      <c r="AN5" s="161" t="s">
        <v>116</v>
      </c>
      <c r="AO5" s="161" t="s">
        <v>117</v>
      </c>
      <c r="AP5" s="162" t="s">
        <v>118</v>
      </c>
      <c r="AQ5" s="162" t="s">
        <v>119</v>
      </c>
      <c r="AR5" s="162" t="s">
        <v>120</v>
      </c>
      <c r="AS5" s="162" t="s">
        <v>121</v>
      </c>
      <c r="AT5" s="161" t="s">
        <v>122</v>
      </c>
      <c r="AU5" s="161" t="s">
        <v>123</v>
      </c>
      <c r="AV5" s="161" t="s">
        <v>124</v>
      </c>
      <c r="AW5" s="161" t="s">
        <v>125</v>
      </c>
      <c r="AX5" s="161" t="s">
        <v>126</v>
      </c>
      <c r="AY5" s="161" t="s">
        <v>127</v>
      </c>
      <c r="AZ5" s="161" t="s">
        <v>128</v>
      </c>
      <c r="BA5" s="161" t="s">
        <v>129</v>
      </c>
      <c r="BB5" s="161" t="s">
        <v>130</v>
      </c>
      <c r="BC5" s="161" t="s">
        <v>131</v>
      </c>
      <c r="BD5" s="161" t="s">
        <v>132</v>
      </c>
      <c r="BE5" s="161" t="s">
        <v>133</v>
      </c>
      <c r="BF5" s="162" t="s">
        <v>134</v>
      </c>
      <c r="BG5" s="161" t="s">
        <v>135</v>
      </c>
      <c r="BH5" s="161" t="s">
        <v>136</v>
      </c>
      <c r="BI5" s="161" t="s">
        <v>137</v>
      </c>
      <c r="BJ5" s="163"/>
      <c r="BK5" s="164"/>
      <c r="BL5" s="163"/>
      <c r="BM5" s="163"/>
      <c r="BN5" s="163"/>
      <c r="BO5" s="163"/>
      <c r="BP5" s="163"/>
      <c r="BQ5" s="163"/>
      <c r="BR5" s="163"/>
      <c r="BS5" s="237"/>
      <c r="BT5" s="163"/>
      <c r="BU5" s="163"/>
      <c r="BV5" s="237"/>
    </row>
    <row r="6" spans="1:80" s="19" customFormat="1" ht="13">
      <c r="A6" s="361" t="s">
        <v>138</v>
      </c>
      <c r="B6" s="362"/>
      <c r="C6" s="363"/>
      <c r="D6" s="155"/>
      <c r="E6" s="155"/>
      <c r="F6" s="367" t="s">
        <v>139</v>
      </c>
      <c r="G6" s="368"/>
      <c r="H6" s="221">
        <v>45444</v>
      </c>
      <c r="I6" s="221">
        <v>45657</v>
      </c>
      <c r="J6" s="369" t="s">
        <v>140</v>
      </c>
      <c r="K6" s="368"/>
      <c r="L6" s="221" t="s">
        <v>141</v>
      </c>
      <c r="M6" s="221" t="s">
        <v>142</v>
      </c>
      <c r="N6" s="369" t="s">
        <v>143</v>
      </c>
      <c r="O6" s="368"/>
      <c r="P6" s="221" t="s">
        <v>141</v>
      </c>
      <c r="Q6" s="221" t="s">
        <v>142</v>
      </c>
      <c r="R6" s="369" t="s">
        <v>144</v>
      </c>
      <c r="S6" s="368"/>
      <c r="T6" s="221" t="s">
        <v>141</v>
      </c>
      <c r="U6" s="221" t="s">
        <v>142</v>
      </c>
      <c r="V6" s="369" t="s">
        <v>145</v>
      </c>
      <c r="W6" s="368"/>
      <c r="X6" s="221" t="s">
        <v>141</v>
      </c>
      <c r="Y6" s="221" t="s">
        <v>142</v>
      </c>
      <c r="Z6" s="369" t="s">
        <v>146</v>
      </c>
      <c r="AA6" s="368"/>
      <c r="AB6" s="221" t="s">
        <v>141</v>
      </c>
      <c r="AC6" s="221" t="s">
        <v>142</v>
      </c>
      <c r="AD6" s="369" t="s">
        <v>147</v>
      </c>
      <c r="AE6" s="368"/>
      <c r="AF6" s="221" t="s">
        <v>141</v>
      </c>
      <c r="AG6" s="221" t="s">
        <v>142</v>
      </c>
      <c r="AH6" s="369" t="s">
        <v>148</v>
      </c>
      <c r="AI6" s="368"/>
      <c r="AJ6" s="221" t="s">
        <v>141</v>
      </c>
      <c r="AK6" s="221" t="s">
        <v>142</v>
      </c>
      <c r="AL6" s="369" t="s">
        <v>149</v>
      </c>
      <c r="AM6" s="368"/>
      <c r="AN6" s="221" t="s">
        <v>141</v>
      </c>
      <c r="AO6" s="221" t="s">
        <v>142</v>
      </c>
      <c r="AP6" s="369" t="s">
        <v>150</v>
      </c>
      <c r="AQ6" s="368"/>
      <c r="AR6" s="221" t="s">
        <v>141</v>
      </c>
      <c r="AS6" s="221" t="s">
        <v>142</v>
      </c>
      <c r="AT6" s="369" t="s">
        <v>151</v>
      </c>
      <c r="AU6" s="368"/>
      <c r="AV6" s="221" t="s">
        <v>141</v>
      </c>
      <c r="AW6" s="221" t="s">
        <v>142</v>
      </c>
      <c r="AX6" s="369" t="s">
        <v>152</v>
      </c>
      <c r="AY6" s="368"/>
      <c r="AZ6" s="221" t="s">
        <v>141</v>
      </c>
      <c r="BA6" s="221" t="s">
        <v>142</v>
      </c>
      <c r="BB6" s="369" t="s">
        <v>153</v>
      </c>
      <c r="BC6" s="368"/>
      <c r="BD6" s="221" t="s">
        <v>141</v>
      </c>
      <c r="BE6" s="221" t="s">
        <v>142</v>
      </c>
      <c r="BF6" s="369" t="s">
        <v>154</v>
      </c>
      <c r="BG6" s="368"/>
      <c r="BH6" s="221" t="s">
        <v>141</v>
      </c>
      <c r="BI6" s="221" t="s">
        <v>142</v>
      </c>
      <c r="BJ6" s="364" t="s">
        <v>155</v>
      </c>
      <c r="BK6" s="365"/>
      <c r="BL6" s="365"/>
      <c r="BM6" s="365"/>
      <c r="BN6" s="365"/>
      <c r="BO6" s="365"/>
      <c r="BP6" s="366"/>
      <c r="BQ6" s="382" t="s">
        <v>156</v>
      </c>
      <c r="BR6" s="381"/>
      <c r="BS6" s="383"/>
      <c r="BT6" s="382" t="s">
        <v>156</v>
      </c>
      <c r="BU6" s="381"/>
      <c r="BV6" s="383"/>
      <c r="BW6" s="18"/>
    </row>
    <row r="7" spans="1:80" s="21" customFormat="1" ht="13">
      <c r="A7" s="142"/>
      <c r="B7" s="56"/>
      <c r="C7" s="56" t="str">
        <f>'Reimbursement Request'!E12</f>
        <v>EUR</v>
      </c>
      <c r="D7" s="98" t="s">
        <v>157</v>
      </c>
      <c r="E7" s="98" t="s">
        <v>18</v>
      </c>
      <c r="F7" s="200" t="str">
        <f>$C$7</f>
        <v>EUR</v>
      </c>
      <c r="G7" s="201" t="s">
        <v>18</v>
      </c>
      <c r="H7" s="201" t="s">
        <v>18</v>
      </c>
      <c r="I7" s="202" t="s">
        <v>18</v>
      </c>
      <c r="J7" s="203" t="str">
        <f>$C$7</f>
        <v>EUR</v>
      </c>
      <c r="K7" s="204" t="s">
        <v>18</v>
      </c>
      <c r="L7" s="204" t="s">
        <v>18</v>
      </c>
      <c r="M7" s="205" t="s">
        <v>18</v>
      </c>
      <c r="N7" s="203" t="str">
        <f>$C$7</f>
        <v>EUR</v>
      </c>
      <c r="O7" s="204" t="s">
        <v>18</v>
      </c>
      <c r="P7" s="204" t="s">
        <v>18</v>
      </c>
      <c r="Q7" s="205" t="s">
        <v>18</v>
      </c>
      <c r="R7" s="203" t="str">
        <f>$C$7</f>
        <v>EUR</v>
      </c>
      <c r="S7" s="204" t="s">
        <v>18</v>
      </c>
      <c r="T7" s="204" t="s">
        <v>18</v>
      </c>
      <c r="U7" s="205" t="s">
        <v>18</v>
      </c>
      <c r="V7" s="203" t="str">
        <f>$C$7</f>
        <v>EUR</v>
      </c>
      <c r="W7" s="204" t="s">
        <v>18</v>
      </c>
      <c r="X7" s="204" t="s">
        <v>18</v>
      </c>
      <c r="Y7" s="205" t="s">
        <v>18</v>
      </c>
      <c r="Z7" s="203" t="str">
        <f>$C$7</f>
        <v>EUR</v>
      </c>
      <c r="AA7" s="204" t="s">
        <v>18</v>
      </c>
      <c r="AB7" s="204" t="s">
        <v>18</v>
      </c>
      <c r="AC7" s="205" t="s">
        <v>18</v>
      </c>
      <c r="AD7" s="203" t="str">
        <f>$C$7</f>
        <v>EUR</v>
      </c>
      <c r="AE7" s="204" t="s">
        <v>18</v>
      </c>
      <c r="AF7" s="204" t="s">
        <v>18</v>
      </c>
      <c r="AG7" s="205" t="s">
        <v>18</v>
      </c>
      <c r="AH7" s="203" t="str">
        <f>$C$7</f>
        <v>EUR</v>
      </c>
      <c r="AI7" s="204" t="s">
        <v>18</v>
      </c>
      <c r="AJ7" s="204" t="s">
        <v>18</v>
      </c>
      <c r="AK7" s="205" t="s">
        <v>18</v>
      </c>
      <c r="AL7" s="203" t="str">
        <f>$C$7</f>
        <v>EUR</v>
      </c>
      <c r="AM7" s="204" t="s">
        <v>18</v>
      </c>
      <c r="AN7" s="204" t="s">
        <v>18</v>
      </c>
      <c r="AO7" s="205" t="s">
        <v>18</v>
      </c>
      <c r="AP7" s="203" t="str">
        <f>$C$7</f>
        <v>EUR</v>
      </c>
      <c r="AQ7" s="204" t="s">
        <v>18</v>
      </c>
      <c r="AR7" s="204" t="s">
        <v>18</v>
      </c>
      <c r="AS7" s="205" t="s">
        <v>18</v>
      </c>
      <c r="AT7" s="203" t="str">
        <f>$C$7</f>
        <v>EUR</v>
      </c>
      <c r="AU7" s="204" t="s">
        <v>18</v>
      </c>
      <c r="AV7" s="204" t="s">
        <v>18</v>
      </c>
      <c r="AW7" s="205" t="s">
        <v>18</v>
      </c>
      <c r="AX7" s="203" t="str">
        <f>$C$7</f>
        <v>EUR</v>
      </c>
      <c r="AY7" s="204" t="s">
        <v>18</v>
      </c>
      <c r="AZ7" s="204" t="s">
        <v>18</v>
      </c>
      <c r="BA7" s="205" t="s">
        <v>18</v>
      </c>
      <c r="BB7" s="203" t="str">
        <f>$C$7</f>
        <v>EUR</v>
      </c>
      <c r="BC7" s="204" t="s">
        <v>18</v>
      </c>
      <c r="BD7" s="204" t="s">
        <v>18</v>
      </c>
      <c r="BE7" s="220" t="s">
        <v>18</v>
      </c>
      <c r="BF7" s="203" t="str">
        <f>$C$7</f>
        <v>EUR</v>
      </c>
      <c r="BG7" s="204" t="s">
        <v>18</v>
      </c>
      <c r="BH7" s="204" t="s">
        <v>18</v>
      </c>
      <c r="BI7" s="205" t="s">
        <v>18</v>
      </c>
      <c r="BJ7" s="380" t="str">
        <f>C7</f>
        <v>EUR</v>
      </c>
      <c r="BK7" s="381"/>
      <c r="BL7" s="381"/>
      <c r="BM7" s="380" t="s">
        <v>18</v>
      </c>
      <c r="BN7" s="381"/>
      <c r="BO7" s="381"/>
      <c r="BP7" s="381"/>
      <c r="BQ7" s="232" t="s">
        <v>16</v>
      </c>
      <c r="BR7" s="228" t="s">
        <v>16</v>
      </c>
      <c r="BS7" s="234" t="s">
        <v>16</v>
      </c>
      <c r="BT7" s="232" t="s">
        <v>18</v>
      </c>
      <c r="BU7" s="228" t="s">
        <v>18</v>
      </c>
      <c r="BV7" s="234" t="s">
        <v>18</v>
      </c>
      <c r="BW7" s="20"/>
    </row>
    <row r="8" spans="1:80" s="21" customFormat="1" ht="65">
      <c r="A8" s="142" t="s">
        <v>158</v>
      </c>
      <c r="B8" s="56" t="s">
        <v>159</v>
      </c>
      <c r="C8" s="56" t="s">
        <v>160</v>
      </c>
      <c r="D8" s="98" t="s">
        <v>161</v>
      </c>
      <c r="E8" s="98" t="s">
        <v>162</v>
      </c>
      <c r="F8" s="200" t="s">
        <v>163</v>
      </c>
      <c r="G8" s="206" t="s">
        <v>163</v>
      </c>
      <c r="H8" s="206" t="s">
        <v>27</v>
      </c>
      <c r="I8" s="206" t="s">
        <v>162</v>
      </c>
      <c r="J8" s="203" t="s">
        <v>163</v>
      </c>
      <c r="K8" s="203" t="s">
        <v>163</v>
      </c>
      <c r="L8" s="203" t="s">
        <v>27</v>
      </c>
      <c r="M8" s="203" t="s">
        <v>162</v>
      </c>
      <c r="N8" s="203" t="s">
        <v>163</v>
      </c>
      <c r="O8" s="203" t="s">
        <v>163</v>
      </c>
      <c r="P8" s="203" t="s">
        <v>27</v>
      </c>
      <c r="Q8" s="203" t="s">
        <v>162</v>
      </c>
      <c r="R8" s="203" t="s">
        <v>163</v>
      </c>
      <c r="S8" s="203" t="s">
        <v>163</v>
      </c>
      <c r="T8" s="203" t="s">
        <v>27</v>
      </c>
      <c r="U8" s="203" t="s">
        <v>162</v>
      </c>
      <c r="V8" s="203" t="s">
        <v>163</v>
      </c>
      <c r="W8" s="203" t="s">
        <v>163</v>
      </c>
      <c r="X8" s="203" t="s">
        <v>27</v>
      </c>
      <c r="Y8" s="203" t="s">
        <v>162</v>
      </c>
      <c r="Z8" s="203" t="s">
        <v>163</v>
      </c>
      <c r="AA8" s="203" t="s">
        <v>163</v>
      </c>
      <c r="AB8" s="203" t="s">
        <v>27</v>
      </c>
      <c r="AC8" s="203" t="s">
        <v>162</v>
      </c>
      <c r="AD8" s="203" t="s">
        <v>163</v>
      </c>
      <c r="AE8" s="203" t="s">
        <v>163</v>
      </c>
      <c r="AF8" s="203" t="s">
        <v>27</v>
      </c>
      <c r="AG8" s="203" t="s">
        <v>162</v>
      </c>
      <c r="AH8" s="203" t="s">
        <v>163</v>
      </c>
      <c r="AI8" s="203" t="s">
        <v>163</v>
      </c>
      <c r="AJ8" s="203" t="s">
        <v>27</v>
      </c>
      <c r="AK8" s="203" t="s">
        <v>162</v>
      </c>
      <c r="AL8" s="203" t="s">
        <v>163</v>
      </c>
      <c r="AM8" s="203" t="s">
        <v>163</v>
      </c>
      <c r="AN8" s="203" t="s">
        <v>27</v>
      </c>
      <c r="AO8" s="203" t="s">
        <v>162</v>
      </c>
      <c r="AP8" s="203" t="s">
        <v>163</v>
      </c>
      <c r="AQ8" s="203" t="s">
        <v>163</v>
      </c>
      <c r="AR8" s="203" t="s">
        <v>27</v>
      </c>
      <c r="AS8" s="203" t="s">
        <v>162</v>
      </c>
      <c r="AT8" s="203" t="s">
        <v>163</v>
      </c>
      <c r="AU8" s="203" t="s">
        <v>163</v>
      </c>
      <c r="AV8" s="203" t="s">
        <v>27</v>
      </c>
      <c r="AW8" s="203" t="s">
        <v>162</v>
      </c>
      <c r="AX8" s="203" t="s">
        <v>163</v>
      </c>
      <c r="AY8" s="203" t="s">
        <v>163</v>
      </c>
      <c r="AZ8" s="203" t="s">
        <v>27</v>
      </c>
      <c r="BA8" s="203" t="s">
        <v>162</v>
      </c>
      <c r="BB8" s="203" t="s">
        <v>163</v>
      </c>
      <c r="BC8" s="203" t="s">
        <v>163</v>
      </c>
      <c r="BD8" s="203" t="s">
        <v>27</v>
      </c>
      <c r="BE8" s="203" t="s">
        <v>162</v>
      </c>
      <c r="BF8" s="203" t="s">
        <v>163</v>
      </c>
      <c r="BG8" s="203" t="s">
        <v>163</v>
      </c>
      <c r="BH8" s="203" t="s">
        <v>27</v>
      </c>
      <c r="BI8" s="203" t="s">
        <v>162</v>
      </c>
      <c r="BJ8" s="134" t="s">
        <v>163</v>
      </c>
      <c r="BK8" s="57" t="s">
        <v>164</v>
      </c>
      <c r="BL8" s="130" t="s">
        <v>165</v>
      </c>
      <c r="BM8" s="190" t="s">
        <v>166</v>
      </c>
      <c r="BN8" s="57" t="s">
        <v>162</v>
      </c>
      <c r="BO8" s="57" t="s">
        <v>167</v>
      </c>
      <c r="BP8" s="135" t="s">
        <v>168</v>
      </c>
      <c r="BQ8" s="231" t="s">
        <v>169</v>
      </c>
      <c r="BR8" s="229" t="s">
        <v>170</v>
      </c>
      <c r="BS8" s="235" t="s">
        <v>171</v>
      </c>
      <c r="BT8" s="231" t="s">
        <v>169</v>
      </c>
      <c r="BU8" s="229" t="s">
        <v>170</v>
      </c>
      <c r="BV8" s="235" t="s">
        <v>171</v>
      </c>
      <c r="BW8" s="20"/>
    </row>
    <row r="9" spans="1:80" s="21" customFormat="1" ht="13">
      <c r="A9" s="143"/>
      <c r="B9" s="99" t="str">
        <f>CONCATENATE("Exchange rate ", 'Reimbursement Request'!B15)</f>
        <v>Exchange rate CHF/EUR</v>
      </c>
      <c r="C9" s="183">
        <v>1.036081</v>
      </c>
      <c r="D9" s="152"/>
      <c r="E9" s="151"/>
      <c r="F9" s="250">
        <v>1</v>
      </c>
      <c r="G9" s="207"/>
      <c r="H9" s="207"/>
      <c r="I9" s="208"/>
      <c r="J9" s="209">
        <v>1</v>
      </c>
      <c r="K9" s="210"/>
      <c r="L9" s="210"/>
      <c r="M9" s="211"/>
      <c r="N9" s="209">
        <v>1</v>
      </c>
      <c r="O9" s="210"/>
      <c r="P9" s="210"/>
      <c r="Q9" s="211"/>
      <c r="R9" s="209">
        <v>1</v>
      </c>
      <c r="S9" s="210"/>
      <c r="T9" s="210"/>
      <c r="U9" s="211"/>
      <c r="V9" s="209">
        <v>1</v>
      </c>
      <c r="W9" s="210"/>
      <c r="X9" s="210"/>
      <c r="Y9" s="211"/>
      <c r="Z9" s="209">
        <v>1</v>
      </c>
      <c r="AA9" s="210"/>
      <c r="AB9" s="210"/>
      <c r="AC9" s="211"/>
      <c r="AD9" s="209">
        <v>1</v>
      </c>
      <c r="AE9" s="210"/>
      <c r="AF9" s="210"/>
      <c r="AG9" s="211"/>
      <c r="AH9" s="209">
        <v>1</v>
      </c>
      <c r="AI9" s="210"/>
      <c r="AJ9" s="210"/>
      <c r="AK9" s="211"/>
      <c r="AL9" s="209">
        <v>1</v>
      </c>
      <c r="AM9" s="210"/>
      <c r="AN9" s="210"/>
      <c r="AO9" s="211"/>
      <c r="AP9" s="209">
        <v>1</v>
      </c>
      <c r="AQ9" s="210"/>
      <c r="AR9" s="210"/>
      <c r="AS9" s="211"/>
      <c r="AT9" s="209">
        <v>1</v>
      </c>
      <c r="AU9" s="210"/>
      <c r="AV9" s="210"/>
      <c r="AW9" s="211"/>
      <c r="AX9" s="209">
        <v>1</v>
      </c>
      <c r="AY9" s="210"/>
      <c r="AZ9" s="210"/>
      <c r="BA9" s="211"/>
      <c r="BB9" s="209">
        <v>2</v>
      </c>
      <c r="BC9" s="210"/>
      <c r="BD9" s="210"/>
      <c r="BE9" s="211"/>
      <c r="BF9" s="209">
        <v>1</v>
      </c>
      <c r="BG9" s="210"/>
      <c r="BH9" s="210"/>
      <c r="BI9" s="212"/>
      <c r="BJ9" s="136"/>
      <c r="BK9" s="100"/>
      <c r="BL9" s="100"/>
      <c r="BM9" s="133"/>
      <c r="BN9" s="194"/>
      <c r="BO9" s="100"/>
      <c r="BP9" s="137"/>
      <c r="BQ9" s="230"/>
      <c r="BR9" s="230"/>
      <c r="BS9" s="236"/>
      <c r="BT9" s="230"/>
      <c r="BU9" s="230"/>
      <c r="BV9" s="236"/>
      <c r="BW9" s="20"/>
    </row>
    <row r="10" spans="1:80" s="23" customFormat="1" ht="13">
      <c r="A10" s="168">
        <v>1</v>
      </c>
      <c r="B10" s="169" t="s">
        <v>172</v>
      </c>
      <c r="C10" s="58">
        <f>SUMIFS(C$10:C$38,$A$10:$A$38,"&lt;"&amp;$A$16,$A$10:$A$38,"&gt;"&amp;$A$10)</f>
        <v>1542928.0699999998</v>
      </c>
      <c r="D10" s="173">
        <v>0.85</v>
      </c>
      <c r="E10" s="139">
        <f>ROUND(C10/$C$9*D10,2)</f>
        <v>1265816.92</v>
      </c>
      <c r="F10" s="213">
        <f>SUMIFS(F$10:F$38,$A$10:$A$38,"&lt;"&amp;$A$16,$A$10:$A$38,"&gt;"&amp;$A$10)</f>
        <v>37535</v>
      </c>
      <c r="G10" s="214">
        <f>ROUND(F10/$F$9,2)</f>
        <v>37535</v>
      </c>
      <c r="H10" s="214">
        <f>G10-I10</f>
        <v>5630.25</v>
      </c>
      <c r="I10" s="214">
        <f>ROUND(F10/F$9*$D10,2)</f>
        <v>31904.75</v>
      </c>
      <c r="J10" s="213">
        <f>SUMIFS(J$10:J$38,$A$10:$A$38,"&lt;"&amp;$A$16,$A$10:$A$38,"&gt;"&amp;$A$10)</f>
        <v>0</v>
      </c>
      <c r="K10" s="214">
        <f>ROUND(J10/J$9,2)</f>
        <v>0</v>
      </c>
      <c r="L10" s="214">
        <f>K10-M10</f>
        <v>0</v>
      </c>
      <c r="M10" s="214">
        <f>ROUND(J10/J$9*$D10,2)</f>
        <v>0</v>
      </c>
      <c r="N10" s="213">
        <f>SUMIFS(N$10:N$38,$A$10:$A$38,"&lt;"&amp;$A$16,$A$10:$A$38,"&gt;"&amp;$A$10)</f>
        <v>0</v>
      </c>
      <c r="O10" s="214">
        <f>ROUND(N10/N$9,2)</f>
        <v>0</v>
      </c>
      <c r="P10" s="214">
        <f>O10-Q10</f>
        <v>0</v>
      </c>
      <c r="Q10" s="214">
        <f>ROUND(N10/N$9*$D10,2)</f>
        <v>0</v>
      </c>
      <c r="R10" s="213">
        <f>SUMIFS(R$10:R$38,$A$10:$A$38,"&lt;"&amp;$A$16,$A$10:$A$38,"&gt;"&amp;$A$10)</f>
        <v>0</v>
      </c>
      <c r="S10" s="214">
        <f>ROUND(R10/R$9,2)</f>
        <v>0</v>
      </c>
      <c r="T10" s="214">
        <f>S10-U10</f>
        <v>0</v>
      </c>
      <c r="U10" s="214">
        <f>ROUND(R10/R$9*$D10,2)</f>
        <v>0</v>
      </c>
      <c r="V10" s="213">
        <f>SUMIFS(V$10:V$38,$A$10:$A$38,"&lt;"&amp;$A$16,$A$10:$A$38,"&gt;"&amp;$A$10)</f>
        <v>0</v>
      </c>
      <c r="W10" s="214">
        <f>ROUND(V10/V$9,2)</f>
        <v>0</v>
      </c>
      <c r="X10" s="214">
        <f>W10-Y10</f>
        <v>0</v>
      </c>
      <c r="Y10" s="214">
        <f>ROUND(V10/V$9*$D10,2)</f>
        <v>0</v>
      </c>
      <c r="Z10" s="213">
        <f>SUMIFS(Z$10:Z$38,$A$10:$A$38,"&lt;"&amp;$A$16,$A$10:$A$38,"&gt;"&amp;$A$10)</f>
        <v>0</v>
      </c>
      <c r="AA10" s="214">
        <f>ROUND(Z10/Z$9,2)</f>
        <v>0</v>
      </c>
      <c r="AB10" s="214">
        <f>AA10-AC10</f>
        <v>0</v>
      </c>
      <c r="AC10" s="214">
        <f>ROUND(Z10/Z$9*$D10,2)</f>
        <v>0</v>
      </c>
      <c r="AD10" s="213">
        <f>SUMIFS(AD$10:AD$38,$A$10:$A$38,"&lt;"&amp;$A$16,$A$10:$A$38,"&gt;"&amp;$A$10)</f>
        <v>0</v>
      </c>
      <c r="AE10" s="214">
        <f>ROUND(AD10/AD$9,2)</f>
        <v>0</v>
      </c>
      <c r="AF10" s="214">
        <f>AE10-AG10</f>
        <v>0</v>
      </c>
      <c r="AG10" s="214">
        <f>ROUND(AD10/AD$9*$D10,2)</f>
        <v>0</v>
      </c>
      <c r="AH10" s="213">
        <f>SUMIFS(AH$10:AH$38,$A$10:$A$38,"&lt;"&amp;$A$16,$A$10:$A$38,"&gt;"&amp;$A$10)</f>
        <v>0</v>
      </c>
      <c r="AI10" s="214">
        <f>ROUND(AH10/AH$9,2)</f>
        <v>0</v>
      </c>
      <c r="AJ10" s="214">
        <f>AI10-AK10</f>
        <v>0</v>
      </c>
      <c r="AK10" s="214">
        <f>ROUND(AH10/AH$9*$D10,2)</f>
        <v>0</v>
      </c>
      <c r="AL10" s="213">
        <f>SUMIFS(AL$10:AL$38,$A$10:$A$38,"&lt;"&amp;$A$16,$A$10:$A$38,"&gt;"&amp;$A$10)</f>
        <v>0</v>
      </c>
      <c r="AM10" s="214">
        <f>ROUND(AL10/AL$9,2)</f>
        <v>0</v>
      </c>
      <c r="AN10" s="214">
        <f>AM10-AO10</f>
        <v>0</v>
      </c>
      <c r="AO10" s="214">
        <f>ROUND(AL10/AL$9*$D10,2)</f>
        <v>0</v>
      </c>
      <c r="AP10" s="213">
        <f>SUMIFS(AP$10:AP$38,$A$10:$A$38,"&lt;"&amp;$A$16,$A$10:$A$38,"&gt;"&amp;$A$10)</f>
        <v>0</v>
      </c>
      <c r="AQ10" s="214">
        <f>ROUND(AP10/AP$9,2)</f>
        <v>0</v>
      </c>
      <c r="AR10" s="214">
        <f>AQ10-AS10</f>
        <v>0</v>
      </c>
      <c r="AS10" s="214">
        <f>ROUND(AP10/AP$9*$D10,2)</f>
        <v>0</v>
      </c>
      <c r="AT10" s="213">
        <f>SUMIFS(AT$10:AT$38,$A$10:$A$38,"&lt;"&amp;$A$16,$A$10:$A$38,"&gt;"&amp;$A$10)</f>
        <v>0</v>
      </c>
      <c r="AU10" s="214">
        <f>ROUND(AT10/AT$9,2)</f>
        <v>0</v>
      </c>
      <c r="AV10" s="214">
        <f>AU10-AW10</f>
        <v>0</v>
      </c>
      <c r="AW10" s="214">
        <f>ROUND(AT10/AT$9*$D10,2)</f>
        <v>0</v>
      </c>
      <c r="AX10" s="213">
        <f>SUMIFS(AX$10:AX$38,$A$10:$A$38,"&lt;"&amp;$A$16,$A$10:$A$38,"&gt;"&amp;$A$10)</f>
        <v>0</v>
      </c>
      <c r="AY10" s="214">
        <f>ROUND(AX10/AX$9,2)</f>
        <v>0</v>
      </c>
      <c r="AZ10" s="214">
        <f>AY10-BA10</f>
        <v>0</v>
      </c>
      <c r="BA10" s="214">
        <f>ROUND(AX10/AX$9*$D10,2)</f>
        <v>0</v>
      </c>
      <c r="BB10" s="213">
        <f>SUMIFS(BB$10:BB$38,$A$10:$A$38,"&lt;"&amp;$A$16,$A$10:$A$38,"&gt;"&amp;$A$10)</f>
        <v>0</v>
      </c>
      <c r="BC10" s="214">
        <f>ROUND(BB10/BB$9,2)</f>
        <v>0</v>
      </c>
      <c r="BD10" s="214">
        <f>BC10-BE10</f>
        <v>0</v>
      </c>
      <c r="BE10" s="214">
        <f>ROUND(BB10/BB$9*$D10,2)</f>
        <v>0</v>
      </c>
      <c r="BF10" s="213">
        <f>SUMIFS(BF$10:BF$38,$A$10:$A$38,"&lt;"&amp;$A$16,$A$10:$A$38,"&gt;"&amp;$A$10)</f>
        <v>0</v>
      </c>
      <c r="BG10" s="214">
        <f>ROUND(BF10/BF$9,2)</f>
        <v>0</v>
      </c>
      <c r="BH10" s="214">
        <f>BG10-BI10</f>
        <v>0</v>
      </c>
      <c r="BI10" s="214">
        <f>ROUND(BF10/BF$9*$D10,2)</f>
        <v>0</v>
      </c>
      <c r="BJ10" s="58">
        <f>SUMIFS(BJ10:BJ38,$A$10:$A$38,"&lt;"&amp;$A$16,$A$10:$A$38,"&gt;"&amp;$A$10)</f>
        <v>37535</v>
      </c>
      <c r="BK10" s="59">
        <f t="shared" ref="BK10:BK38" si="0">BJ10/C10</f>
        <v>2.4327122391389254E-2</v>
      </c>
      <c r="BL10" s="131">
        <f t="shared" ref="BL10:BL38" si="1">C10-BJ10</f>
        <v>1505393.0699999998</v>
      </c>
      <c r="BM10" s="191">
        <f>G10+K10+O10+S10+W10+AA10+AE10+AI10+AM10+AQ10+AU10+AY10+BC10+BG10</f>
        <v>37535</v>
      </c>
      <c r="BN10" s="58">
        <f>I10+M10+Q10+U10+Y10+AC10+AG10+AK10+AO10+AS10+AW10+BA10+BE10+BI10</f>
        <v>31904.75</v>
      </c>
      <c r="BO10" s="59">
        <f>BN10/E10</f>
        <v>2.5204869279200345E-2</v>
      </c>
      <c r="BP10" s="139">
        <f>E10-BN10</f>
        <v>1233912.17</v>
      </c>
      <c r="BQ10" s="238"/>
      <c r="BR10" s="239"/>
      <c r="BS10" s="240"/>
      <c r="BT10" s="238">
        <v>95000</v>
      </c>
      <c r="BU10" s="239">
        <v>300000</v>
      </c>
      <c r="BV10" s="240">
        <v>400000</v>
      </c>
      <c r="BW10" s="22"/>
      <c r="BY10" s="22"/>
      <c r="CA10" s="24"/>
      <c r="CB10" s="22"/>
    </row>
    <row r="11" spans="1:80" s="23" customFormat="1" ht="13">
      <c r="A11" s="170">
        <v>1.1000000000000001</v>
      </c>
      <c r="B11" s="171" t="s">
        <v>173</v>
      </c>
      <c r="C11" s="172">
        <v>692732</v>
      </c>
      <c r="D11" s="153"/>
      <c r="E11" s="141"/>
      <c r="F11" s="215">
        <f>28499.41+6534.63</f>
        <v>35034.04</v>
      </c>
      <c r="G11" s="216"/>
      <c r="H11" s="216"/>
      <c r="I11" s="216"/>
      <c r="J11" s="215"/>
      <c r="K11" s="217"/>
      <c r="L11" s="217"/>
      <c r="M11" s="217"/>
      <c r="N11" s="215"/>
      <c r="O11" s="217"/>
      <c r="P11" s="217"/>
      <c r="Q11" s="217"/>
      <c r="R11" s="215"/>
      <c r="S11" s="217"/>
      <c r="T11" s="217"/>
      <c r="U11" s="217"/>
      <c r="V11" s="215"/>
      <c r="W11" s="217"/>
      <c r="X11" s="217"/>
      <c r="Y11" s="217"/>
      <c r="Z11" s="215"/>
      <c r="AA11" s="217"/>
      <c r="AB11" s="217"/>
      <c r="AC11" s="217"/>
      <c r="AD11" s="215"/>
      <c r="AE11" s="217"/>
      <c r="AF11" s="217"/>
      <c r="AG11" s="217"/>
      <c r="AH11" s="215"/>
      <c r="AI11" s="217"/>
      <c r="AJ11" s="217"/>
      <c r="AK11" s="217"/>
      <c r="AL11" s="215"/>
      <c r="AM11" s="217"/>
      <c r="AN11" s="217"/>
      <c r="AO11" s="217"/>
      <c r="AP11" s="215"/>
      <c r="AQ11" s="217"/>
      <c r="AR11" s="217"/>
      <c r="AS11" s="217"/>
      <c r="AT11" s="215"/>
      <c r="AU11" s="217"/>
      <c r="AV11" s="217"/>
      <c r="AW11" s="217"/>
      <c r="AX11" s="215"/>
      <c r="AY11" s="217"/>
      <c r="AZ11" s="217"/>
      <c r="BA11" s="217"/>
      <c r="BB11" s="215"/>
      <c r="BC11" s="217"/>
      <c r="BD11" s="217"/>
      <c r="BE11" s="217"/>
      <c r="BF11" s="215"/>
      <c r="BG11" s="217"/>
      <c r="BH11" s="217"/>
      <c r="BI11" s="217"/>
      <c r="BJ11" s="140">
        <f>SUM(F11:BI11)</f>
        <v>35034.04</v>
      </c>
      <c r="BK11" s="61">
        <f t="shared" si="0"/>
        <v>5.0573728368257853E-2</v>
      </c>
      <c r="BL11" s="132">
        <f t="shared" si="1"/>
        <v>657697.96</v>
      </c>
      <c r="BM11" s="192"/>
      <c r="BN11" s="60"/>
      <c r="BO11" s="60"/>
      <c r="BP11" s="141"/>
      <c r="BQ11" s="233"/>
      <c r="BR11" s="60"/>
      <c r="BS11" s="141"/>
      <c r="BT11" s="233"/>
      <c r="BU11" s="60"/>
      <c r="BV11" s="141"/>
      <c r="BW11" s="22"/>
      <c r="BY11" s="22"/>
      <c r="CA11" s="24"/>
      <c r="CB11" s="22"/>
    </row>
    <row r="12" spans="1:80" s="23" customFormat="1" ht="13">
      <c r="A12" s="170">
        <v>1.2</v>
      </c>
      <c r="B12" s="171" t="s">
        <v>174</v>
      </c>
      <c r="C12" s="172">
        <v>140000</v>
      </c>
      <c r="D12" s="153"/>
      <c r="E12" s="141"/>
      <c r="F12" s="215">
        <v>2110.0700000000002</v>
      </c>
      <c r="G12" s="216"/>
      <c r="H12" s="216"/>
      <c r="I12" s="216"/>
      <c r="J12" s="215"/>
      <c r="K12" s="217"/>
      <c r="L12" s="217"/>
      <c r="M12" s="217"/>
      <c r="N12" s="215"/>
      <c r="O12" s="217"/>
      <c r="P12" s="217"/>
      <c r="Q12" s="217"/>
      <c r="R12" s="215"/>
      <c r="S12" s="217"/>
      <c r="T12" s="217"/>
      <c r="U12" s="217"/>
      <c r="V12" s="215"/>
      <c r="W12" s="217"/>
      <c r="X12" s="217"/>
      <c r="Y12" s="217"/>
      <c r="Z12" s="215"/>
      <c r="AA12" s="217"/>
      <c r="AB12" s="217"/>
      <c r="AC12" s="217"/>
      <c r="AD12" s="215"/>
      <c r="AE12" s="217"/>
      <c r="AF12" s="217"/>
      <c r="AG12" s="217"/>
      <c r="AH12" s="215"/>
      <c r="AI12" s="217"/>
      <c r="AJ12" s="217"/>
      <c r="AK12" s="217"/>
      <c r="AL12" s="215"/>
      <c r="AM12" s="217"/>
      <c r="AN12" s="217"/>
      <c r="AO12" s="217"/>
      <c r="AP12" s="215"/>
      <c r="AQ12" s="217"/>
      <c r="AR12" s="217"/>
      <c r="AS12" s="217"/>
      <c r="AT12" s="215"/>
      <c r="AU12" s="217"/>
      <c r="AV12" s="217"/>
      <c r="AW12" s="217"/>
      <c r="AX12" s="215"/>
      <c r="AY12" s="217"/>
      <c r="AZ12" s="217"/>
      <c r="BA12" s="217"/>
      <c r="BB12" s="215"/>
      <c r="BC12" s="217"/>
      <c r="BD12" s="217"/>
      <c r="BE12" s="217"/>
      <c r="BF12" s="215"/>
      <c r="BG12" s="217"/>
      <c r="BH12" s="217"/>
      <c r="BI12" s="217"/>
      <c r="BJ12" s="140">
        <f t="shared" ref="BJ12:BJ38" si="2">SUM(F12:BI12)</f>
        <v>2110.0700000000002</v>
      </c>
      <c r="BK12" s="61">
        <f t="shared" si="0"/>
        <v>1.5071928571428573E-2</v>
      </c>
      <c r="BL12" s="132">
        <f t="shared" si="1"/>
        <v>137889.93</v>
      </c>
      <c r="BM12" s="192"/>
      <c r="BN12" s="60"/>
      <c r="BO12" s="60"/>
      <c r="BP12" s="141"/>
      <c r="BQ12" s="233"/>
      <c r="BR12" s="60"/>
      <c r="BS12" s="141"/>
      <c r="BT12" s="233"/>
      <c r="BU12" s="60"/>
      <c r="BV12" s="141"/>
      <c r="BW12" s="22"/>
      <c r="BY12" s="22"/>
      <c r="CA12" s="24"/>
      <c r="CB12" s="22"/>
    </row>
    <row r="13" spans="1:80" s="23" customFormat="1" ht="13">
      <c r="A13" s="170">
        <v>1.3</v>
      </c>
      <c r="B13" s="171" t="s">
        <v>175</v>
      </c>
      <c r="C13" s="172">
        <v>543776.11</v>
      </c>
      <c r="D13" s="153"/>
      <c r="E13" s="141"/>
      <c r="F13" s="215">
        <v>0</v>
      </c>
      <c r="G13" s="216"/>
      <c r="H13" s="216"/>
      <c r="I13" s="216"/>
      <c r="J13" s="215"/>
      <c r="K13" s="217"/>
      <c r="L13" s="217"/>
      <c r="M13" s="217"/>
      <c r="N13" s="215"/>
      <c r="O13" s="217"/>
      <c r="P13" s="217"/>
      <c r="Q13" s="217"/>
      <c r="R13" s="215"/>
      <c r="S13" s="217"/>
      <c r="T13" s="217"/>
      <c r="U13" s="217"/>
      <c r="V13" s="215"/>
      <c r="W13" s="217"/>
      <c r="X13" s="217"/>
      <c r="Y13" s="217"/>
      <c r="Z13" s="215"/>
      <c r="AA13" s="217"/>
      <c r="AB13" s="217"/>
      <c r="AC13" s="217"/>
      <c r="AD13" s="215"/>
      <c r="AE13" s="217"/>
      <c r="AF13" s="217"/>
      <c r="AG13" s="217"/>
      <c r="AH13" s="215"/>
      <c r="AI13" s="217"/>
      <c r="AJ13" s="217"/>
      <c r="AK13" s="217"/>
      <c r="AL13" s="215"/>
      <c r="AM13" s="217"/>
      <c r="AN13" s="217"/>
      <c r="AO13" s="217"/>
      <c r="AP13" s="215"/>
      <c r="AQ13" s="217"/>
      <c r="AR13" s="217"/>
      <c r="AS13" s="217"/>
      <c r="AT13" s="215"/>
      <c r="AU13" s="217"/>
      <c r="AV13" s="217"/>
      <c r="AW13" s="217"/>
      <c r="AX13" s="215"/>
      <c r="AY13" s="217"/>
      <c r="AZ13" s="217"/>
      <c r="BA13" s="217"/>
      <c r="BB13" s="215"/>
      <c r="BC13" s="217"/>
      <c r="BD13" s="217"/>
      <c r="BE13" s="217"/>
      <c r="BF13" s="215"/>
      <c r="BG13" s="217"/>
      <c r="BH13" s="217"/>
      <c r="BI13" s="217"/>
      <c r="BJ13" s="140">
        <f t="shared" si="2"/>
        <v>0</v>
      </c>
      <c r="BK13" s="61">
        <f t="shared" si="0"/>
        <v>0</v>
      </c>
      <c r="BL13" s="132">
        <f t="shared" si="1"/>
        <v>543776.11</v>
      </c>
      <c r="BM13" s="192"/>
      <c r="BN13" s="60"/>
      <c r="BO13" s="60"/>
      <c r="BP13" s="141"/>
      <c r="BQ13" s="233"/>
      <c r="BR13" s="60"/>
      <c r="BS13" s="141"/>
      <c r="BT13" s="233"/>
      <c r="BU13" s="60"/>
      <c r="BV13" s="141"/>
      <c r="BW13" s="22"/>
      <c r="BY13" s="22"/>
      <c r="CA13" s="24"/>
      <c r="CB13" s="22"/>
    </row>
    <row r="14" spans="1:80" s="23" customFormat="1" ht="13">
      <c r="A14" s="170">
        <v>1.4</v>
      </c>
      <c r="B14" s="171" t="s">
        <v>176</v>
      </c>
      <c r="C14" s="172">
        <v>154000.01</v>
      </c>
      <c r="D14" s="153"/>
      <c r="E14" s="141"/>
      <c r="F14" s="215">
        <v>310.37</v>
      </c>
      <c r="G14" s="216"/>
      <c r="H14" s="216"/>
      <c r="I14" s="216"/>
      <c r="J14" s="215"/>
      <c r="K14" s="217"/>
      <c r="L14" s="217"/>
      <c r="M14" s="217"/>
      <c r="N14" s="215"/>
      <c r="O14" s="217"/>
      <c r="P14" s="217"/>
      <c r="Q14" s="217"/>
      <c r="R14" s="215"/>
      <c r="S14" s="217"/>
      <c r="T14" s="217"/>
      <c r="U14" s="217"/>
      <c r="V14" s="215"/>
      <c r="W14" s="217"/>
      <c r="X14" s="217"/>
      <c r="Y14" s="217"/>
      <c r="Z14" s="215"/>
      <c r="AA14" s="217"/>
      <c r="AB14" s="217"/>
      <c r="AC14" s="217"/>
      <c r="AD14" s="215"/>
      <c r="AE14" s="217"/>
      <c r="AF14" s="217"/>
      <c r="AG14" s="217"/>
      <c r="AH14" s="215"/>
      <c r="AI14" s="217"/>
      <c r="AJ14" s="217"/>
      <c r="AK14" s="217"/>
      <c r="AL14" s="215"/>
      <c r="AM14" s="217"/>
      <c r="AN14" s="217"/>
      <c r="AO14" s="217"/>
      <c r="AP14" s="215"/>
      <c r="AQ14" s="217"/>
      <c r="AR14" s="217"/>
      <c r="AS14" s="217"/>
      <c r="AT14" s="215"/>
      <c r="AU14" s="217"/>
      <c r="AV14" s="217"/>
      <c r="AW14" s="217"/>
      <c r="AX14" s="215"/>
      <c r="AY14" s="217"/>
      <c r="AZ14" s="217"/>
      <c r="BA14" s="217"/>
      <c r="BB14" s="215"/>
      <c r="BC14" s="217"/>
      <c r="BD14" s="217"/>
      <c r="BE14" s="217"/>
      <c r="BF14" s="215"/>
      <c r="BG14" s="217"/>
      <c r="BH14" s="217"/>
      <c r="BI14" s="217"/>
      <c r="BJ14" s="140">
        <f t="shared" si="2"/>
        <v>310.37</v>
      </c>
      <c r="BK14" s="61">
        <f t="shared" si="0"/>
        <v>2.0153894795201634E-3</v>
      </c>
      <c r="BL14" s="132">
        <f t="shared" si="1"/>
        <v>153689.64000000001</v>
      </c>
      <c r="BM14" s="192"/>
      <c r="BN14" s="60"/>
      <c r="BO14" s="60"/>
      <c r="BP14" s="141"/>
      <c r="BQ14" s="233"/>
      <c r="BR14" s="60"/>
      <c r="BS14" s="141"/>
      <c r="BT14" s="233"/>
      <c r="BU14" s="60"/>
      <c r="BV14" s="141"/>
      <c r="BW14" s="22"/>
      <c r="BY14" s="22"/>
      <c r="CA14" s="24"/>
      <c r="CB14" s="22"/>
    </row>
    <row r="15" spans="1:80" s="23" customFormat="1" ht="13">
      <c r="A15" s="170">
        <v>1.5</v>
      </c>
      <c r="B15" s="171" t="s">
        <v>177</v>
      </c>
      <c r="C15" s="172">
        <v>12419.95</v>
      </c>
      <c r="D15" s="153"/>
      <c r="E15" s="141"/>
      <c r="F15" s="215">
        <v>80.52</v>
      </c>
      <c r="G15" s="216"/>
      <c r="H15" s="216"/>
      <c r="I15" s="216"/>
      <c r="J15" s="215"/>
      <c r="K15" s="217"/>
      <c r="L15" s="217"/>
      <c r="M15" s="217"/>
      <c r="N15" s="215"/>
      <c r="O15" s="217"/>
      <c r="P15" s="217"/>
      <c r="Q15" s="217"/>
      <c r="R15" s="215"/>
      <c r="S15" s="217"/>
      <c r="T15" s="217"/>
      <c r="U15" s="217"/>
      <c r="V15" s="215"/>
      <c r="W15" s="217"/>
      <c r="X15" s="217"/>
      <c r="Y15" s="217"/>
      <c r="Z15" s="215"/>
      <c r="AA15" s="217"/>
      <c r="AB15" s="217"/>
      <c r="AC15" s="217"/>
      <c r="AD15" s="215"/>
      <c r="AE15" s="217"/>
      <c r="AF15" s="217"/>
      <c r="AG15" s="217"/>
      <c r="AH15" s="215"/>
      <c r="AI15" s="217"/>
      <c r="AJ15" s="217"/>
      <c r="AK15" s="217"/>
      <c r="AL15" s="215"/>
      <c r="AM15" s="217"/>
      <c r="AN15" s="217"/>
      <c r="AO15" s="217"/>
      <c r="AP15" s="215"/>
      <c r="AQ15" s="217"/>
      <c r="AR15" s="217"/>
      <c r="AS15" s="217"/>
      <c r="AT15" s="215"/>
      <c r="AU15" s="217"/>
      <c r="AV15" s="217"/>
      <c r="AW15" s="217"/>
      <c r="AX15" s="215"/>
      <c r="AY15" s="217"/>
      <c r="AZ15" s="217"/>
      <c r="BA15" s="217"/>
      <c r="BB15" s="215"/>
      <c r="BC15" s="217"/>
      <c r="BD15" s="217"/>
      <c r="BE15" s="217"/>
      <c r="BF15" s="215"/>
      <c r="BG15" s="217"/>
      <c r="BH15" s="217"/>
      <c r="BI15" s="217"/>
      <c r="BJ15" s="140">
        <f t="shared" si="2"/>
        <v>80.52</v>
      </c>
      <c r="BK15" s="61">
        <f t="shared" si="0"/>
        <v>6.4831178869480142E-3</v>
      </c>
      <c r="BL15" s="132">
        <f t="shared" si="1"/>
        <v>12339.43</v>
      </c>
      <c r="BM15" s="192"/>
      <c r="BN15" s="60"/>
      <c r="BO15" s="60"/>
      <c r="BP15" s="141"/>
      <c r="BQ15" s="233"/>
      <c r="BR15" s="60"/>
      <c r="BS15" s="141"/>
      <c r="BT15" s="233"/>
      <c r="BU15" s="60"/>
      <c r="BV15" s="141"/>
      <c r="BW15" s="22"/>
      <c r="BY15" s="22"/>
      <c r="CA15" s="24"/>
      <c r="CB15" s="22"/>
    </row>
    <row r="16" spans="1:80" s="23" customFormat="1" ht="26">
      <c r="A16" s="168">
        <v>2</v>
      </c>
      <c r="B16" s="169" t="s">
        <v>178</v>
      </c>
      <c r="C16" s="58">
        <f>SUMIFS(C$10:C$38,$A$10:$A$38,"&lt;"&amp;$A$24,$A$10:$A$38,"&gt;"&amp;$A$16)</f>
        <v>6816349.1300000008</v>
      </c>
      <c r="D16" s="173">
        <v>0.85</v>
      </c>
      <c r="E16" s="139">
        <f>ROUND(C16/$C$9*D16,2)</f>
        <v>5592127.2199999997</v>
      </c>
      <c r="F16" s="213">
        <f>SUMIFS(F$10:F$38,$A$10:$A$38,"&lt;"&amp;$A$24,$A$10:$A$38,"&gt;"&amp;$A$16)</f>
        <v>0</v>
      </c>
      <c r="G16" s="214">
        <f>ROUND(F16/$F$9,2)</f>
        <v>0</v>
      </c>
      <c r="H16" s="214">
        <f>G16-I16</f>
        <v>0</v>
      </c>
      <c r="I16" s="214">
        <f>ROUND(F16/F$9*$D16,2)</f>
        <v>0</v>
      </c>
      <c r="J16" s="213">
        <f>SUMIFS(J$10:J$38,$A$10:$A$38,"&lt;"&amp;$A$24,$A$10:$A$38,"&gt;"&amp;$A$16)</f>
        <v>0</v>
      </c>
      <c r="K16" s="214">
        <f>ROUND(J16/J$9,2)</f>
        <v>0</v>
      </c>
      <c r="L16" s="214">
        <f>K16-M16</f>
        <v>0</v>
      </c>
      <c r="M16" s="214">
        <f>ROUND(J16/J$9*$D16,2)</f>
        <v>0</v>
      </c>
      <c r="N16" s="213">
        <f>SUMIFS(N$10:N$38,$A$10:$A$38,"&lt;"&amp;$A$24,$A$10:$A$38,"&gt;"&amp;$A$16)</f>
        <v>0</v>
      </c>
      <c r="O16" s="214">
        <f>ROUND(N16/N$9,2)</f>
        <v>0</v>
      </c>
      <c r="P16" s="214">
        <f>O16-Q16</f>
        <v>0</v>
      </c>
      <c r="Q16" s="214">
        <f>ROUND(N16/N$9*$D16,2)</f>
        <v>0</v>
      </c>
      <c r="R16" s="213">
        <f>SUMIFS(R$10:R$38,$A$10:$A$38,"&lt;"&amp;$A$24,$A$10:$A$38,"&gt;"&amp;$A$16)</f>
        <v>0</v>
      </c>
      <c r="S16" s="214">
        <f>ROUND(R16/R$9,2)</f>
        <v>0</v>
      </c>
      <c r="T16" s="214">
        <f>S16-U16</f>
        <v>0</v>
      </c>
      <c r="U16" s="214">
        <f>ROUND(R16/R$9*$D16,2)</f>
        <v>0</v>
      </c>
      <c r="V16" s="213">
        <f>SUMIFS(V$10:V$38,$A$10:$A$38,"&lt;"&amp;$A$24,$A$10:$A$38,"&gt;"&amp;$A$16)</f>
        <v>0</v>
      </c>
      <c r="W16" s="214">
        <f>ROUND(V16/V$9,2)</f>
        <v>0</v>
      </c>
      <c r="X16" s="214">
        <f>W16-Y16</f>
        <v>0</v>
      </c>
      <c r="Y16" s="214">
        <f>ROUND(V16/V$9*$D16,2)</f>
        <v>0</v>
      </c>
      <c r="Z16" s="213">
        <f>SUMIFS(Z$10:Z$38,$A$10:$A$38,"&lt;"&amp;$A$24,$A$10:$A$38,"&gt;"&amp;$A$16)</f>
        <v>0</v>
      </c>
      <c r="AA16" s="214">
        <f>ROUND(Z16/Z$9,2)</f>
        <v>0</v>
      </c>
      <c r="AB16" s="214">
        <f>AA16-AC16</f>
        <v>0</v>
      </c>
      <c r="AC16" s="214">
        <f>ROUND(Z16/Z$9*$D16,2)</f>
        <v>0</v>
      </c>
      <c r="AD16" s="213">
        <f>SUMIFS(AD$10:AD$38,$A$10:$A$38,"&lt;"&amp;$A$24,$A$10:$A$38,"&gt;"&amp;$A$16)</f>
        <v>0</v>
      </c>
      <c r="AE16" s="214">
        <f>ROUND(AD16/AD$9,2)</f>
        <v>0</v>
      </c>
      <c r="AF16" s="214">
        <f>AE16-AG16</f>
        <v>0</v>
      </c>
      <c r="AG16" s="214">
        <f>ROUND(AD16/AD$9*$D16,2)</f>
        <v>0</v>
      </c>
      <c r="AH16" s="213">
        <f>SUMIFS(AH$10:AH$38,$A$10:$A$38,"&lt;"&amp;$A$24,$A$10:$A$38,"&gt;"&amp;$A$16)</f>
        <v>0</v>
      </c>
      <c r="AI16" s="214">
        <f>ROUND(AH16/AH$9,2)</f>
        <v>0</v>
      </c>
      <c r="AJ16" s="214">
        <f>AI16-AK16</f>
        <v>0</v>
      </c>
      <c r="AK16" s="214">
        <f>ROUND(AH16/AH$9*$D16,2)</f>
        <v>0</v>
      </c>
      <c r="AL16" s="213">
        <f>SUMIFS(AL$10:AL$38,$A$10:$A$38,"&lt;"&amp;$A$24,$A$10:$A$38,"&gt;"&amp;$A$16)</f>
        <v>0</v>
      </c>
      <c r="AM16" s="214">
        <f>ROUND(AL16/AL$9,2)</f>
        <v>0</v>
      </c>
      <c r="AN16" s="214">
        <f>AM16-AO16</f>
        <v>0</v>
      </c>
      <c r="AO16" s="214">
        <f>ROUND(AL16/AL$9*$D16,2)</f>
        <v>0</v>
      </c>
      <c r="AP16" s="213">
        <f>SUMIFS(AP$10:AP$38,$A$10:$A$38,"&lt;"&amp;$A$24,$A$10:$A$38,"&gt;"&amp;$A$16)</f>
        <v>0</v>
      </c>
      <c r="AQ16" s="214">
        <f>ROUND(AP16/AP$9,2)</f>
        <v>0</v>
      </c>
      <c r="AR16" s="214">
        <f>AQ16-AS16</f>
        <v>0</v>
      </c>
      <c r="AS16" s="214">
        <f>ROUND(AP16/AP$9*$D16,2)</f>
        <v>0</v>
      </c>
      <c r="AT16" s="213">
        <f>SUMIFS(AT$10:AT$38,$A$10:$A$38,"&lt;"&amp;$A$24,$A$10:$A$38,"&gt;"&amp;$A$16)</f>
        <v>0</v>
      </c>
      <c r="AU16" s="214">
        <f>ROUND(AT16/AT$9,2)</f>
        <v>0</v>
      </c>
      <c r="AV16" s="214">
        <f>AU16-AW16</f>
        <v>0</v>
      </c>
      <c r="AW16" s="214">
        <f>ROUND(AT16/AT$9*$D16,2)</f>
        <v>0</v>
      </c>
      <c r="AX16" s="213">
        <f>SUMIFS(AX$10:AX$38,$A$10:$A$38,"&lt;"&amp;$A$24,$A$10:$A$38,"&gt;"&amp;$A$16)</f>
        <v>0</v>
      </c>
      <c r="AY16" s="214">
        <f>ROUND(AX16/AX$9,2)</f>
        <v>0</v>
      </c>
      <c r="AZ16" s="214">
        <f>AY16-BA16</f>
        <v>0</v>
      </c>
      <c r="BA16" s="214">
        <f>ROUND(AX16/AX$9*$D16,2)</f>
        <v>0</v>
      </c>
      <c r="BB16" s="213">
        <f>SUMIFS(BB$10:BB$38,$A$10:$A$38,"&lt;"&amp;$A$24,$A$10:$A$38,"&gt;"&amp;$A$16)</f>
        <v>0</v>
      </c>
      <c r="BC16" s="214">
        <f>ROUND(BB16/BB$9,2)</f>
        <v>0</v>
      </c>
      <c r="BD16" s="214">
        <f>BC16-BE16</f>
        <v>0</v>
      </c>
      <c r="BE16" s="214">
        <f>ROUND(BB16/BB$9*$D16,2)</f>
        <v>0</v>
      </c>
      <c r="BF16" s="213">
        <f>SUMIFS(BF$10:BF$38,$A$10:$A$38,"&lt;"&amp;$A$24,$A$10:$A$38,"&gt;"&amp;$A$16)</f>
        <v>0</v>
      </c>
      <c r="BG16" s="214">
        <f>ROUND(BF16/BF$9,2)</f>
        <v>0</v>
      </c>
      <c r="BH16" s="214">
        <f>BG16-BI16</f>
        <v>0</v>
      </c>
      <c r="BI16" s="214">
        <f>ROUND(BF16/BF$9*$D16,2)</f>
        <v>0</v>
      </c>
      <c r="BJ16" s="138">
        <f>SUM(BJ17:BJ23)</f>
        <v>0</v>
      </c>
      <c r="BK16" s="59">
        <f t="shared" si="0"/>
        <v>0</v>
      </c>
      <c r="BL16" s="131">
        <f t="shared" si="1"/>
        <v>6816349.1300000008</v>
      </c>
      <c r="BM16" s="191">
        <f>G16+K16+O16+S16+W16+AA16+AE16+AI16+AM16+AQ16+AU16+AY16+BC16+BG16</f>
        <v>0</v>
      </c>
      <c r="BN16" s="58">
        <f>I16+M16+Q16+U16+Y16+AC16+AG16+AK16+AO16+AS16+AW16+BA16+BE16+BI16</f>
        <v>0</v>
      </c>
      <c r="BO16" s="59">
        <f>BN16/E16</f>
        <v>0</v>
      </c>
      <c r="BP16" s="139">
        <f>E16-BN16</f>
        <v>5592127.2199999997</v>
      </c>
      <c r="BQ16" s="238">
        <f>SUM(BQ17:BQ23)</f>
        <v>197820.82</v>
      </c>
      <c r="BR16" s="238">
        <f t="shared" ref="BR16:BS16" si="3">SUM(BR17:BR23)</f>
        <v>1313412.42</v>
      </c>
      <c r="BS16" s="238">
        <f t="shared" si="3"/>
        <v>1789585.57</v>
      </c>
      <c r="BT16" s="238">
        <f>ROUND(197820.82/1.036081,0)</f>
        <v>190932</v>
      </c>
      <c r="BU16" s="238">
        <f>ROUND(1313412.42/1.036081,0)</f>
        <v>1267673</v>
      </c>
      <c r="BV16" s="238">
        <f>ROUND(1789585.57/1.036081,0)</f>
        <v>1727264</v>
      </c>
      <c r="BW16" s="22"/>
      <c r="BY16" s="22"/>
      <c r="CA16" s="24"/>
      <c r="CB16" s="22"/>
    </row>
    <row r="17" spans="1:116" s="23" customFormat="1" ht="13">
      <c r="A17" s="170">
        <v>2.1</v>
      </c>
      <c r="B17" s="171" t="s">
        <v>179</v>
      </c>
      <c r="C17" s="172">
        <v>205200.03</v>
      </c>
      <c r="D17" s="153" t="s">
        <v>180</v>
      </c>
      <c r="E17" s="141"/>
      <c r="F17" s="215"/>
      <c r="G17" s="216"/>
      <c r="H17" s="216"/>
      <c r="I17" s="216"/>
      <c r="J17" s="215"/>
      <c r="K17" s="217"/>
      <c r="L17" s="217"/>
      <c r="M17" s="217"/>
      <c r="N17" s="215"/>
      <c r="O17" s="217"/>
      <c r="P17" s="217"/>
      <c r="Q17" s="217"/>
      <c r="R17" s="215"/>
      <c r="S17" s="217"/>
      <c r="T17" s="217"/>
      <c r="U17" s="217"/>
      <c r="V17" s="215"/>
      <c r="W17" s="217"/>
      <c r="X17" s="217"/>
      <c r="Y17" s="217"/>
      <c r="Z17" s="215"/>
      <c r="AA17" s="217"/>
      <c r="AB17" s="217"/>
      <c r="AC17" s="217"/>
      <c r="AD17" s="215"/>
      <c r="AE17" s="217"/>
      <c r="AF17" s="217"/>
      <c r="AG17" s="217"/>
      <c r="AH17" s="215"/>
      <c r="AI17" s="217"/>
      <c r="AJ17" s="217"/>
      <c r="AK17" s="217"/>
      <c r="AL17" s="215"/>
      <c r="AM17" s="217"/>
      <c r="AN17" s="217"/>
      <c r="AO17" s="217"/>
      <c r="AP17" s="215"/>
      <c r="AQ17" s="217"/>
      <c r="AR17" s="217"/>
      <c r="AS17" s="217"/>
      <c r="AT17" s="215"/>
      <c r="AU17" s="217"/>
      <c r="AV17" s="217"/>
      <c r="AW17" s="217"/>
      <c r="AX17" s="215"/>
      <c r="AY17" s="217"/>
      <c r="AZ17" s="217"/>
      <c r="BA17" s="217"/>
      <c r="BB17" s="215"/>
      <c r="BC17" s="217"/>
      <c r="BD17" s="217"/>
      <c r="BE17" s="217"/>
      <c r="BF17" s="215"/>
      <c r="BG17" s="217"/>
      <c r="BH17" s="217"/>
      <c r="BI17" s="217"/>
      <c r="BJ17" s="140">
        <f t="shared" si="2"/>
        <v>0</v>
      </c>
      <c r="BK17" s="61">
        <f t="shared" si="0"/>
        <v>0</v>
      </c>
      <c r="BL17" s="132">
        <f t="shared" si="1"/>
        <v>205200.03</v>
      </c>
      <c r="BM17" s="192"/>
      <c r="BN17" s="60"/>
      <c r="BO17" s="60"/>
      <c r="BP17" s="141"/>
      <c r="BQ17" s="233">
        <f xml:space="preserve"> 51300*0.85</f>
        <v>43605</v>
      </c>
      <c r="BR17" s="233">
        <f t="shared" ref="BR17:BS17" si="4" xml:space="preserve"> 51300*0.85</f>
        <v>43605</v>
      </c>
      <c r="BS17" s="233">
        <f t="shared" si="4"/>
        <v>43605</v>
      </c>
      <c r="BT17" s="233"/>
      <c r="BU17" s="233"/>
      <c r="BV17" s="233"/>
      <c r="BW17" s="22"/>
      <c r="BY17" s="22"/>
      <c r="CA17" s="24"/>
      <c r="CB17" s="22"/>
    </row>
    <row r="18" spans="1:116" s="23" customFormat="1" ht="13">
      <c r="A18" s="170">
        <v>2.2000000000000002</v>
      </c>
      <c r="B18" s="171" t="s">
        <v>181</v>
      </c>
      <c r="C18" s="172">
        <v>445929.38</v>
      </c>
      <c r="D18" s="153"/>
      <c r="E18" s="141"/>
      <c r="F18" s="215"/>
      <c r="G18" s="216"/>
      <c r="H18" s="216"/>
      <c r="I18" s="216"/>
      <c r="J18" s="215"/>
      <c r="K18" s="217"/>
      <c r="L18" s="217"/>
      <c r="M18" s="217"/>
      <c r="N18" s="215"/>
      <c r="O18" s="217"/>
      <c r="P18" s="217"/>
      <c r="Q18" s="217"/>
      <c r="R18" s="215"/>
      <c r="S18" s="217"/>
      <c r="T18" s="217"/>
      <c r="U18" s="217"/>
      <c r="V18" s="215"/>
      <c r="W18" s="217"/>
      <c r="X18" s="217"/>
      <c r="Y18" s="217"/>
      <c r="Z18" s="215"/>
      <c r="AA18" s="217"/>
      <c r="AB18" s="217"/>
      <c r="AC18" s="217"/>
      <c r="AD18" s="215"/>
      <c r="AE18" s="217"/>
      <c r="AF18" s="217"/>
      <c r="AG18" s="217"/>
      <c r="AH18" s="215"/>
      <c r="AI18" s="217"/>
      <c r="AJ18" s="217"/>
      <c r="AK18" s="217"/>
      <c r="AL18" s="215"/>
      <c r="AM18" s="217"/>
      <c r="AN18" s="217"/>
      <c r="AO18" s="217"/>
      <c r="AP18" s="215"/>
      <c r="AQ18" s="217"/>
      <c r="AR18" s="217"/>
      <c r="AS18" s="217"/>
      <c r="AT18" s="215"/>
      <c r="AU18" s="217"/>
      <c r="AV18" s="217"/>
      <c r="AW18" s="217"/>
      <c r="AX18" s="215"/>
      <c r="AY18" s="217"/>
      <c r="AZ18" s="217"/>
      <c r="BA18" s="217"/>
      <c r="BB18" s="215"/>
      <c r="BC18" s="217"/>
      <c r="BD18" s="217"/>
      <c r="BE18" s="217"/>
      <c r="BF18" s="215"/>
      <c r="BG18" s="217"/>
      <c r="BH18" s="217"/>
      <c r="BI18" s="217"/>
      <c r="BJ18" s="140">
        <f t="shared" si="2"/>
        <v>0</v>
      </c>
      <c r="BK18" s="61">
        <f t="shared" si="0"/>
        <v>0</v>
      </c>
      <c r="BL18" s="132">
        <f t="shared" si="1"/>
        <v>445929.38</v>
      </c>
      <c r="BM18" s="192"/>
      <c r="BN18" s="60"/>
      <c r="BO18" s="60"/>
      <c r="BP18" s="141"/>
      <c r="BQ18" s="233">
        <f>(BQ17+BQ19+BQ20+BQ21+BQ22+BQ23)*0.07</f>
        <v>22394.820000000003</v>
      </c>
      <c r="BR18" s="233">
        <f t="shared" ref="BR18:BS18" si="5">(BR17+BR19+BR20+BR21+BR22+BR23)*0.07</f>
        <v>102606.42000000001</v>
      </c>
      <c r="BS18" s="233">
        <f t="shared" si="5"/>
        <v>138484.57</v>
      </c>
      <c r="BT18" s="233"/>
      <c r="BU18" s="233"/>
      <c r="BV18" s="233"/>
      <c r="BW18" s="22"/>
      <c r="BY18" s="22"/>
      <c r="CA18" s="24"/>
      <c r="CB18" s="22"/>
    </row>
    <row r="19" spans="1:116" s="244" customFormat="1" ht="26">
      <c r="A19" s="170">
        <v>2.2999999999999998</v>
      </c>
      <c r="B19" s="171" t="s">
        <v>182</v>
      </c>
      <c r="C19" s="172">
        <v>1446121.03</v>
      </c>
      <c r="D19" s="153"/>
      <c r="E19" s="153"/>
      <c r="F19" s="215"/>
      <c r="G19" s="216"/>
      <c r="H19" s="216"/>
      <c r="I19" s="216"/>
      <c r="J19" s="222"/>
      <c r="K19" s="243"/>
      <c r="L19" s="243"/>
      <c r="M19" s="243"/>
      <c r="N19" s="222"/>
      <c r="O19" s="243"/>
      <c r="P19" s="243"/>
      <c r="Q19" s="243"/>
      <c r="R19" s="222"/>
      <c r="S19" s="243"/>
      <c r="T19" s="243"/>
      <c r="U19" s="243"/>
      <c r="V19" s="222"/>
      <c r="W19" s="243"/>
      <c r="X19" s="243"/>
      <c r="Y19" s="243"/>
      <c r="Z19" s="222"/>
      <c r="AA19" s="243"/>
      <c r="AB19" s="243"/>
      <c r="AC19" s="243"/>
      <c r="AD19" s="222"/>
      <c r="AE19" s="243"/>
      <c r="AF19" s="243"/>
      <c r="AG19" s="243"/>
      <c r="AH19" s="222"/>
      <c r="AI19" s="243"/>
      <c r="AJ19" s="243"/>
      <c r="AK19" s="243"/>
      <c r="AL19" s="222"/>
      <c r="AM19" s="243"/>
      <c r="AN19" s="243"/>
      <c r="AO19" s="243"/>
      <c r="AP19" s="222"/>
      <c r="AQ19" s="243"/>
      <c r="AR19" s="243"/>
      <c r="AS19" s="243"/>
      <c r="AT19" s="222"/>
      <c r="AU19" s="243"/>
      <c r="AV19" s="243"/>
      <c r="AW19" s="243"/>
      <c r="AX19" s="222"/>
      <c r="AY19" s="243"/>
      <c r="AZ19" s="243"/>
      <c r="BA19" s="243"/>
      <c r="BB19" s="222"/>
      <c r="BC19" s="243"/>
      <c r="BD19" s="243"/>
      <c r="BE19" s="243"/>
      <c r="BF19" s="222"/>
      <c r="BG19" s="243"/>
      <c r="BH19" s="243"/>
      <c r="BI19" s="243"/>
      <c r="BJ19" s="140">
        <f>SUM(F19:BI19)</f>
        <v>0</v>
      </c>
      <c r="BK19" s="61">
        <f t="shared" si="0"/>
        <v>0</v>
      </c>
      <c r="BL19" s="132">
        <f t="shared" si="1"/>
        <v>1446121.03</v>
      </c>
      <c r="BM19" s="192"/>
      <c r="BN19" s="60"/>
      <c r="BO19" s="60"/>
      <c r="BP19" s="141"/>
      <c r="BQ19" s="233">
        <v>18148</v>
      </c>
      <c r="BR19" s="233">
        <v>384374</v>
      </c>
      <c r="BS19" s="233">
        <v>463909</v>
      </c>
      <c r="BT19" s="233"/>
      <c r="BU19" s="233"/>
      <c r="BV19" s="233"/>
      <c r="BW19" s="22"/>
      <c r="BX19" s="23"/>
      <c r="BY19" s="22"/>
      <c r="BZ19" s="23"/>
      <c r="CA19" s="24"/>
      <c r="CB19" s="22"/>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row>
    <row r="20" spans="1:116" s="244" customFormat="1" ht="26">
      <c r="A20" s="170">
        <v>2.4</v>
      </c>
      <c r="B20" s="171" t="s">
        <v>183</v>
      </c>
      <c r="C20" s="172">
        <v>910648.12</v>
      </c>
      <c r="D20" s="153"/>
      <c r="E20" s="153"/>
      <c r="F20" s="215"/>
      <c r="G20" s="216"/>
      <c r="H20" s="216"/>
      <c r="I20" s="216"/>
      <c r="J20" s="222"/>
      <c r="K20" s="243"/>
      <c r="L20" s="243"/>
      <c r="M20" s="243"/>
      <c r="N20" s="222"/>
      <c r="O20" s="243"/>
      <c r="P20" s="243"/>
      <c r="Q20" s="243"/>
      <c r="R20" s="222"/>
      <c r="S20" s="243"/>
      <c r="T20" s="243"/>
      <c r="U20" s="243"/>
      <c r="V20" s="222"/>
      <c r="W20" s="243"/>
      <c r="X20" s="243"/>
      <c r="Y20" s="243"/>
      <c r="Z20" s="222"/>
      <c r="AA20" s="243"/>
      <c r="AB20" s="243"/>
      <c r="AC20" s="243"/>
      <c r="AD20" s="222"/>
      <c r="AE20" s="243"/>
      <c r="AF20" s="243"/>
      <c r="AG20" s="243"/>
      <c r="AH20" s="222"/>
      <c r="AI20" s="243"/>
      <c r="AJ20" s="243"/>
      <c r="AK20" s="243"/>
      <c r="AL20" s="222"/>
      <c r="AM20" s="243"/>
      <c r="AN20" s="243"/>
      <c r="AO20" s="243"/>
      <c r="AP20" s="222"/>
      <c r="AQ20" s="243"/>
      <c r="AR20" s="243"/>
      <c r="AS20" s="243"/>
      <c r="AT20" s="222"/>
      <c r="AU20" s="243"/>
      <c r="AV20" s="243"/>
      <c r="AW20" s="243"/>
      <c r="AX20" s="222"/>
      <c r="AY20" s="243"/>
      <c r="AZ20" s="243"/>
      <c r="BA20" s="243"/>
      <c r="BB20" s="222"/>
      <c r="BC20" s="243"/>
      <c r="BD20" s="243"/>
      <c r="BE20" s="243"/>
      <c r="BF20" s="222"/>
      <c r="BG20" s="243"/>
      <c r="BH20" s="243"/>
      <c r="BI20" s="243"/>
      <c r="BJ20" s="140">
        <f>SUM(F20:BI20)</f>
        <v>0</v>
      </c>
      <c r="BK20" s="61">
        <f>BJ20/C20</f>
        <v>0</v>
      </c>
      <c r="BL20" s="132">
        <f>C20-BJ20</f>
        <v>910648.12</v>
      </c>
      <c r="BM20" s="192"/>
      <c r="BN20" s="60"/>
      <c r="BO20" s="60"/>
      <c r="BP20" s="141"/>
      <c r="BQ20" s="233">
        <v>30780</v>
      </c>
      <c r="BR20" s="233">
        <v>221889</v>
      </c>
      <c r="BS20" s="233">
        <v>321624</v>
      </c>
      <c r="BT20" s="233"/>
      <c r="BU20" s="233"/>
      <c r="BV20" s="233"/>
      <c r="BW20" s="22"/>
      <c r="BX20" s="23"/>
      <c r="BY20" s="22"/>
      <c r="BZ20" s="23"/>
      <c r="CA20" s="24"/>
      <c r="CB20" s="22"/>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row>
    <row r="21" spans="1:116" s="244" customFormat="1" ht="26">
      <c r="A21" s="170">
        <v>2.5</v>
      </c>
      <c r="B21" s="171" t="s">
        <v>184</v>
      </c>
      <c r="C21" s="172">
        <v>870453.1</v>
      </c>
      <c r="D21" s="153"/>
      <c r="E21" s="153"/>
      <c r="F21" s="215"/>
      <c r="G21" s="216"/>
      <c r="H21" s="216"/>
      <c r="I21" s="216"/>
      <c r="J21" s="222"/>
      <c r="K21" s="243"/>
      <c r="L21" s="243"/>
      <c r="M21" s="243"/>
      <c r="N21" s="222"/>
      <c r="O21" s="243"/>
      <c r="P21" s="243"/>
      <c r="Q21" s="243"/>
      <c r="R21" s="222"/>
      <c r="S21" s="243"/>
      <c r="T21" s="243"/>
      <c r="U21" s="243"/>
      <c r="V21" s="222"/>
      <c r="W21" s="243"/>
      <c r="X21" s="243"/>
      <c r="Y21" s="243"/>
      <c r="Z21" s="222"/>
      <c r="AA21" s="243"/>
      <c r="AB21" s="243"/>
      <c r="AC21" s="243"/>
      <c r="AD21" s="222"/>
      <c r="AE21" s="243"/>
      <c r="AF21" s="243"/>
      <c r="AG21" s="243"/>
      <c r="AH21" s="222"/>
      <c r="AI21" s="243"/>
      <c r="AJ21" s="243"/>
      <c r="AK21" s="243"/>
      <c r="AL21" s="222"/>
      <c r="AM21" s="243"/>
      <c r="AN21" s="243"/>
      <c r="AO21" s="243"/>
      <c r="AP21" s="222"/>
      <c r="AQ21" s="243"/>
      <c r="AR21" s="243"/>
      <c r="AS21" s="243"/>
      <c r="AT21" s="222"/>
      <c r="AU21" s="243"/>
      <c r="AV21" s="243"/>
      <c r="AW21" s="243"/>
      <c r="AX21" s="222"/>
      <c r="AY21" s="243"/>
      <c r="AZ21" s="243"/>
      <c r="BA21" s="243"/>
      <c r="BB21" s="222"/>
      <c r="BC21" s="243"/>
      <c r="BD21" s="243"/>
      <c r="BE21" s="243"/>
      <c r="BF21" s="222"/>
      <c r="BG21" s="243"/>
      <c r="BH21" s="243"/>
      <c r="BI21" s="243"/>
      <c r="BJ21" s="140">
        <f t="shared" ref="BJ21:BJ22" si="6">SUM(F21:BI21)</f>
        <v>0</v>
      </c>
      <c r="BK21" s="61">
        <f t="shared" ref="BK21:BK22" si="7">BJ21/C21</f>
        <v>0</v>
      </c>
      <c r="BL21" s="132">
        <f t="shared" ref="BL21:BL22" si="8">C21-BJ21</f>
        <v>870453.1</v>
      </c>
      <c r="BM21" s="192"/>
      <c r="BN21" s="60"/>
      <c r="BO21" s="60"/>
      <c r="BP21" s="141"/>
      <c r="BQ21" s="233">
        <v>56790</v>
      </c>
      <c r="BR21" s="233">
        <v>146156</v>
      </c>
      <c r="BS21" s="233">
        <v>307474</v>
      </c>
      <c r="BT21" s="233"/>
      <c r="BU21" s="233"/>
      <c r="BV21" s="233"/>
      <c r="BW21" s="22"/>
      <c r="BX21" s="23"/>
      <c r="BY21" s="22"/>
      <c r="BZ21" s="23"/>
      <c r="CA21" s="24"/>
      <c r="CB21" s="22"/>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row>
    <row r="22" spans="1:116" s="244" customFormat="1" ht="26">
      <c r="A22" s="170">
        <v>2.6</v>
      </c>
      <c r="B22" s="171" t="s">
        <v>185</v>
      </c>
      <c r="C22" s="172">
        <v>2023214.4</v>
      </c>
      <c r="D22" s="153"/>
      <c r="E22" s="153"/>
      <c r="F22" s="215"/>
      <c r="G22" s="216"/>
      <c r="H22" s="216"/>
      <c r="I22" s="216"/>
      <c r="J22" s="222"/>
      <c r="K22" s="243"/>
      <c r="L22" s="243"/>
      <c r="M22" s="243"/>
      <c r="N22" s="222"/>
      <c r="O22" s="243"/>
      <c r="P22" s="243"/>
      <c r="Q22" s="243"/>
      <c r="R22" s="222"/>
      <c r="S22" s="243"/>
      <c r="T22" s="243"/>
      <c r="U22" s="243"/>
      <c r="V22" s="222"/>
      <c r="W22" s="243"/>
      <c r="X22" s="243"/>
      <c r="Y22" s="243"/>
      <c r="Z22" s="222"/>
      <c r="AA22" s="243"/>
      <c r="AB22" s="243"/>
      <c r="AC22" s="243"/>
      <c r="AD22" s="222"/>
      <c r="AE22" s="243"/>
      <c r="AF22" s="243"/>
      <c r="AG22" s="243"/>
      <c r="AH22" s="222"/>
      <c r="AI22" s="243"/>
      <c r="AJ22" s="243"/>
      <c r="AK22" s="243"/>
      <c r="AL22" s="222"/>
      <c r="AM22" s="243"/>
      <c r="AN22" s="243"/>
      <c r="AO22" s="243"/>
      <c r="AP22" s="222"/>
      <c r="AQ22" s="243"/>
      <c r="AR22" s="243"/>
      <c r="AS22" s="243"/>
      <c r="AT22" s="222"/>
      <c r="AU22" s="243"/>
      <c r="AV22" s="243"/>
      <c r="AW22" s="243"/>
      <c r="AX22" s="222"/>
      <c r="AY22" s="243"/>
      <c r="AZ22" s="243"/>
      <c r="BA22" s="243"/>
      <c r="BB22" s="222"/>
      <c r="BC22" s="243"/>
      <c r="BD22" s="243"/>
      <c r="BE22" s="243"/>
      <c r="BF22" s="222"/>
      <c r="BG22" s="243"/>
      <c r="BH22" s="243"/>
      <c r="BI22" s="243"/>
      <c r="BJ22" s="140">
        <f t="shared" si="6"/>
        <v>0</v>
      </c>
      <c r="BK22" s="61">
        <f t="shared" si="7"/>
        <v>0</v>
      </c>
      <c r="BL22" s="132">
        <f t="shared" si="8"/>
        <v>2023214.4</v>
      </c>
      <c r="BM22" s="192"/>
      <c r="BN22" s="60"/>
      <c r="BO22" s="60"/>
      <c r="BP22" s="141"/>
      <c r="BQ22" s="233">
        <v>26103</v>
      </c>
      <c r="BR22" s="233">
        <v>414782</v>
      </c>
      <c r="BS22" s="233">
        <v>514489</v>
      </c>
      <c r="BT22" s="233"/>
      <c r="BU22" s="233"/>
      <c r="BV22" s="233"/>
      <c r="BW22" s="22"/>
      <c r="BX22" s="23"/>
      <c r="BY22" s="22"/>
      <c r="BZ22" s="23"/>
      <c r="CA22" s="24"/>
      <c r="CB22" s="22"/>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row>
    <row r="23" spans="1:116" s="23" customFormat="1" ht="26">
      <c r="A23" s="170">
        <v>2.7</v>
      </c>
      <c r="B23" s="171" t="s">
        <v>186</v>
      </c>
      <c r="C23" s="172">
        <v>914783.07</v>
      </c>
      <c r="D23" s="153"/>
      <c r="E23" s="141"/>
      <c r="F23" s="215"/>
      <c r="G23" s="216"/>
      <c r="H23" s="216"/>
      <c r="I23" s="216"/>
      <c r="J23" s="215"/>
      <c r="K23" s="217"/>
      <c r="L23" s="217"/>
      <c r="M23" s="217"/>
      <c r="N23" s="215"/>
      <c r="O23" s="217"/>
      <c r="P23" s="217"/>
      <c r="Q23" s="217"/>
      <c r="R23" s="215"/>
      <c r="S23" s="217"/>
      <c r="T23" s="217"/>
      <c r="U23" s="217"/>
      <c r="V23" s="215"/>
      <c r="W23" s="217"/>
      <c r="X23" s="217"/>
      <c r="Y23" s="217"/>
      <c r="Z23" s="215"/>
      <c r="AA23" s="217"/>
      <c r="AB23" s="217"/>
      <c r="AC23" s="217"/>
      <c r="AD23" s="215"/>
      <c r="AE23" s="217"/>
      <c r="AF23" s="217"/>
      <c r="AG23" s="217"/>
      <c r="AH23" s="215"/>
      <c r="AI23" s="217"/>
      <c r="AJ23" s="217"/>
      <c r="AK23" s="217"/>
      <c r="AL23" s="215"/>
      <c r="AM23" s="217"/>
      <c r="AN23" s="217"/>
      <c r="AO23" s="217"/>
      <c r="AP23" s="215"/>
      <c r="AQ23" s="217"/>
      <c r="AR23" s="217"/>
      <c r="AS23" s="217"/>
      <c r="AT23" s="215"/>
      <c r="AU23" s="217"/>
      <c r="AV23" s="217"/>
      <c r="AW23" s="217"/>
      <c r="AX23" s="215"/>
      <c r="AY23" s="217"/>
      <c r="AZ23" s="217"/>
      <c r="BA23" s="217"/>
      <c r="BB23" s="215"/>
      <c r="BC23" s="217"/>
      <c r="BD23" s="217"/>
      <c r="BE23" s="217"/>
      <c r="BF23" s="215"/>
      <c r="BG23" s="217"/>
      <c r="BH23" s="217"/>
      <c r="BI23" s="217"/>
      <c r="BJ23" s="140">
        <f t="shared" si="2"/>
        <v>0</v>
      </c>
      <c r="BK23" s="61">
        <f t="shared" si="0"/>
        <v>0</v>
      </c>
      <c r="BL23" s="132">
        <f t="shared" si="1"/>
        <v>914783.07</v>
      </c>
      <c r="BM23" s="192"/>
      <c r="BN23" s="60"/>
      <c r="BO23" s="60"/>
      <c r="BP23" s="141"/>
      <c r="BQ23" s="233" t="s">
        <v>187</v>
      </c>
      <c r="BR23" s="233" t="s">
        <v>188</v>
      </c>
      <c r="BS23" s="233" t="s">
        <v>189</v>
      </c>
      <c r="BT23" s="233"/>
      <c r="BU23" s="233"/>
      <c r="BV23" s="233"/>
      <c r="BW23" s="22"/>
      <c r="BY23" s="22"/>
      <c r="CA23" s="24"/>
      <c r="CB23" s="22"/>
    </row>
    <row r="24" spans="1:116" s="23" customFormat="1" ht="26">
      <c r="A24" s="168">
        <v>3</v>
      </c>
      <c r="B24" s="169" t="s">
        <v>190</v>
      </c>
      <c r="C24" s="58">
        <f>SUMIFS(C$10:C$38,$A$10:$A$38,"&lt;"&amp;$A$29,$A$10:$A$38,"&gt;"&amp;$A$24)</f>
        <v>6564705.0024000006</v>
      </c>
      <c r="D24" s="173">
        <v>0.85</v>
      </c>
      <c r="E24" s="139">
        <f>ROUND(C24/$C$9*D24,2)</f>
        <v>5385678.5800000001</v>
      </c>
      <c r="F24" s="213">
        <f>SUMIFS(F$10:F$38,$A$10:$A$38,"&lt;"&amp;$A$29,$A$10:$A$38,"&gt;"&amp;$A$24)</f>
        <v>0</v>
      </c>
      <c r="G24" s="214">
        <f>ROUND(F24/$F$9,2)</f>
        <v>0</v>
      </c>
      <c r="H24" s="214">
        <f>G24-I24</f>
        <v>0</v>
      </c>
      <c r="I24" s="214">
        <f>ROUND(F24/F$9*$D24,2)</f>
        <v>0</v>
      </c>
      <c r="J24" s="213">
        <f>SUMIFS(J$10:J$38,$A$10:$A$38,"&lt;"&amp;$A$29,$A$10:$A$38,"&gt;"&amp;$A$24)</f>
        <v>0</v>
      </c>
      <c r="K24" s="214">
        <f>ROUND(J24/J$9,2)</f>
        <v>0</v>
      </c>
      <c r="L24" s="214">
        <f>K24-M24</f>
        <v>0</v>
      </c>
      <c r="M24" s="214">
        <f>ROUND(J24/J$9*$D24,2)</f>
        <v>0</v>
      </c>
      <c r="N24" s="213">
        <f>SUMIFS(N$10:N$38,$A$10:$A$38,"&lt;"&amp;$A$29,$A$10:$A$38,"&gt;"&amp;$A$24)</f>
        <v>0</v>
      </c>
      <c r="O24" s="214">
        <f>ROUND(N24/N$9,2)</f>
        <v>0</v>
      </c>
      <c r="P24" s="214">
        <f>O24-Q24</f>
        <v>0</v>
      </c>
      <c r="Q24" s="214">
        <f>ROUND(N24/N$9*$D24,2)</f>
        <v>0</v>
      </c>
      <c r="R24" s="213">
        <f>SUMIFS(R$10:R$38,$A$10:$A$38,"&lt;"&amp;$A$29,$A$10:$A$38,"&gt;"&amp;$A$24)</f>
        <v>0</v>
      </c>
      <c r="S24" s="214">
        <f>ROUND(R24/R$9,2)</f>
        <v>0</v>
      </c>
      <c r="T24" s="214">
        <f>S24-U24</f>
        <v>0</v>
      </c>
      <c r="U24" s="214">
        <f>ROUND(R24/R$9*$D24,2)</f>
        <v>0</v>
      </c>
      <c r="V24" s="213">
        <f>SUMIFS(V$10:V$38,$A$10:$A$38,"&lt;"&amp;$A$29,$A$10:$A$38,"&gt;"&amp;$A$24)</f>
        <v>0</v>
      </c>
      <c r="W24" s="214">
        <f>ROUND(V24/V$9,2)</f>
        <v>0</v>
      </c>
      <c r="X24" s="214">
        <f>W24-Y24</f>
        <v>0</v>
      </c>
      <c r="Y24" s="214">
        <f>ROUND(V24/V$9*$D24,2)</f>
        <v>0</v>
      </c>
      <c r="Z24" s="213">
        <f>SUMIFS(Z$10:Z$38,$A$10:$A$38,"&lt;"&amp;$A$29,$A$10:$A$38,"&gt;"&amp;$A$24)</f>
        <v>0</v>
      </c>
      <c r="AA24" s="214">
        <f>ROUND(Z24/Z$9,2)</f>
        <v>0</v>
      </c>
      <c r="AB24" s="214">
        <f>AA24-AC24</f>
        <v>0</v>
      </c>
      <c r="AC24" s="214">
        <f>ROUND(Z24/Z$9*$D24,2)</f>
        <v>0</v>
      </c>
      <c r="AD24" s="213">
        <f>SUMIFS(AD$10:AD$38,$A$10:$A$38,"&lt;"&amp;$A$29,$A$10:$A$38,"&gt;"&amp;$A$24)</f>
        <v>0</v>
      </c>
      <c r="AE24" s="214">
        <f>ROUND(AD24/AD$9,2)</f>
        <v>0</v>
      </c>
      <c r="AF24" s="214">
        <f>AE24-AG24</f>
        <v>0</v>
      </c>
      <c r="AG24" s="214">
        <f>ROUND(AD24/AD$9*$D24,2)</f>
        <v>0</v>
      </c>
      <c r="AH24" s="213">
        <f>SUMIFS(AH$10:AH$38,$A$10:$A$38,"&lt;"&amp;$A$29,$A$10:$A$38,"&gt;"&amp;$A$24)</f>
        <v>0</v>
      </c>
      <c r="AI24" s="214">
        <f>ROUND(AH24/AH$9,2)</f>
        <v>0</v>
      </c>
      <c r="AJ24" s="214">
        <f>AI24-AK24</f>
        <v>0</v>
      </c>
      <c r="AK24" s="214">
        <f>ROUND(AH24/AH$9*$D24,2)</f>
        <v>0</v>
      </c>
      <c r="AL24" s="213">
        <f>SUMIFS(AL$10:AL$38,$A$10:$A$38,"&lt;"&amp;$A$29,$A$10:$A$38,"&gt;"&amp;$A$24)</f>
        <v>0</v>
      </c>
      <c r="AM24" s="214">
        <f>ROUND(AL24/AL$9,2)</f>
        <v>0</v>
      </c>
      <c r="AN24" s="214">
        <f>AM24-AO24</f>
        <v>0</v>
      </c>
      <c r="AO24" s="214">
        <f>ROUND(AL24/AL$9*$D24,2)</f>
        <v>0</v>
      </c>
      <c r="AP24" s="213">
        <f>SUMIFS(AP$10:AP$38,$A$10:$A$38,"&lt;"&amp;$A$29,$A$10:$A$38,"&gt;"&amp;$A$24)</f>
        <v>0</v>
      </c>
      <c r="AQ24" s="214">
        <f>ROUND(AP24/AP$9,2)</f>
        <v>0</v>
      </c>
      <c r="AR24" s="214">
        <f>AQ24-AS24</f>
        <v>0</v>
      </c>
      <c r="AS24" s="214">
        <f>ROUND(AP24/AP$9*$D24,2)</f>
        <v>0</v>
      </c>
      <c r="AT24" s="213">
        <f>SUMIFS(AT$10:AT$38,$A$10:$A$38,"&lt;"&amp;$A$29,$A$10:$A$38,"&gt;"&amp;$A$24)</f>
        <v>0</v>
      </c>
      <c r="AU24" s="214">
        <f>ROUND(AT24/AT$9,2)</f>
        <v>0</v>
      </c>
      <c r="AV24" s="214">
        <f>AU24-AW24</f>
        <v>0</v>
      </c>
      <c r="AW24" s="214">
        <f>ROUND(AT24/AT$9*$D24,2)</f>
        <v>0</v>
      </c>
      <c r="AX24" s="213">
        <f>SUMIFS(AX$10:AX$38,$A$10:$A$38,"&lt;"&amp;$A$29,$A$10:$A$38,"&gt;"&amp;$A$24)</f>
        <v>0</v>
      </c>
      <c r="AY24" s="214">
        <f>ROUND(AX24/AX$9,2)</f>
        <v>0</v>
      </c>
      <c r="AZ24" s="214">
        <f>AY24-BA24</f>
        <v>0</v>
      </c>
      <c r="BA24" s="214">
        <f>ROUND(AX24/AX$9*$D24,2)</f>
        <v>0</v>
      </c>
      <c r="BB24" s="213">
        <f>SUMIFS(BB$10:BB$38,$A$10:$A$38,"&lt;"&amp;$A$29,$A$10:$A$38,"&gt;"&amp;$A$24)</f>
        <v>0</v>
      </c>
      <c r="BC24" s="214">
        <f>ROUND(BB24/BB$9,2)</f>
        <v>0</v>
      </c>
      <c r="BD24" s="214">
        <f>BC24-BE24</f>
        <v>0</v>
      </c>
      <c r="BE24" s="214">
        <f>ROUND(BB24/BB$9*$D24,2)</f>
        <v>0</v>
      </c>
      <c r="BF24" s="213">
        <f>SUMIFS(BF$10:BF$38,$A$10:$A$38,"&lt;"&amp;$A$29,$A$10:$A$38,"&gt;"&amp;$A$24)</f>
        <v>0</v>
      </c>
      <c r="BG24" s="214">
        <f>ROUND(BF24/BF$9,2)</f>
        <v>0</v>
      </c>
      <c r="BH24" s="214">
        <f>BG24-BI24</f>
        <v>0</v>
      </c>
      <c r="BI24" s="214">
        <f>ROUND(BF24/BF$9*$D24,2)</f>
        <v>0</v>
      </c>
      <c r="BJ24" s="138">
        <f>SUM(BJ25:BJ28)</f>
        <v>0</v>
      </c>
      <c r="BK24" s="59">
        <f t="shared" si="0"/>
        <v>0</v>
      </c>
      <c r="BL24" s="131">
        <f t="shared" si="1"/>
        <v>6564705.0024000006</v>
      </c>
      <c r="BM24" s="191">
        <f>G24+K24+O24+S24+W24+AA24+AE24+AI24+AM24+AQ24+AU24+AY24+BC24+BG24</f>
        <v>0</v>
      </c>
      <c r="BN24" s="58">
        <f>I24+M24+Q24+U24+Y24+AC24+AG24+AK24+AO24+AS24+AW24+BA24+BE24+BI24</f>
        <v>0</v>
      </c>
      <c r="BO24" s="59">
        <f>BN24/E24</f>
        <v>0</v>
      </c>
      <c r="BP24" s="139">
        <f>E24-BN24</f>
        <v>5385678.5800000001</v>
      </c>
      <c r="BQ24" s="238">
        <f>SUM(BQ25:BQ28)</f>
        <v>327526.14399999997</v>
      </c>
      <c r="BR24" s="238">
        <f t="shared" ref="BR24:BS24" si="9">SUM(BR25:BR28)</f>
        <v>1319333.9679999999</v>
      </c>
      <c r="BS24" s="238">
        <f t="shared" si="9"/>
        <v>2047725.7145000002</v>
      </c>
      <c r="BT24" s="238">
        <f>ROUND(327526.144/1.036081,0)</f>
        <v>316120</v>
      </c>
      <c r="BU24" s="238">
        <f>ROUND(1319333.968/1.036081,0)</f>
        <v>1273389</v>
      </c>
      <c r="BV24" s="238">
        <f>ROUND(2047725.7145/1.036081,0)</f>
        <v>1976415</v>
      </c>
      <c r="BW24" s="22"/>
      <c r="BY24" s="22"/>
      <c r="CA24" s="24"/>
      <c r="CB24" s="22"/>
    </row>
    <row r="25" spans="1:116" s="23" customFormat="1" ht="13">
      <c r="A25" s="170">
        <v>3.1</v>
      </c>
      <c r="B25" s="171" t="s">
        <v>191</v>
      </c>
      <c r="C25" s="172">
        <v>109012.5</v>
      </c>
      <c r="D25" s="153"/>
      <c r="E25" s="141"/>
      <c r="F25" s="215"/>
      <c r="G25" s="216"/>
      <c r="H25" s="216"/>
      <c r="I25" s="216"/>
      <c r="J25" s="215"/>
      <c r="K25" s="217"/>
      <c r="L25" s="217"/>
      <c r="M25" s="217"/>
      <c r="N25" s="215"/>
      <c r="O25" s="217"/>
      <c r="P25" s="217"/>
      <c r="Q25" s="217"/>
      <c r="R25" s="215"/>
      <c r="S25" s="217"/>
      <c r="T25" s="217"/>
      <c r="U25" s="217"/>
      <c r="V25" s="215"/>
      <c r="W25" s="217"/>
      <c r="X25" s="217"/>
      <c r="Y25" s="217"/>
      <c r="Z25" s="215"/>
      <c r="AA25" s="217"/>
      <c r="AB25" s="217"/>
      <c r="AC25" s="217"/>
      <c r="AD25" s="215"/>
      <c r="AE25" s="217"/>
      <c r="AF25" s="217"/>
      <c r="AG25" s="217"/>
      <c r="AH25" s="215"/>
      <c r="AI25" s="217"/>
      <c r="AJ25" s="217"/>
      <c r="AK25" s="217"/>
      <c r="AL25" s="215"/>
      <c r="AM25" s="217"/>
      <c r="AN25" s="217"/>
      <c r="AO25" s="217"/>
      <c r="AP25" s="215"/>
      <c r="AQ25" s="217"/>
      <c r="AR25" s="217"/>
      <c r="AS25" s="217"/>
      <c r="AT25" s="215"/>
      <c r="AU25" s="217"/>
      <c r="AV25" s="217"/>
      <c r="AW25" s="217"/>
      <c r="AX25" s="215"/>
      <c r="AY25" s="217"/>
      <c r="AZ25" s="217"/>
      <c r="BA25" s="217"/>
      <c r="BB25" s="215"/>
      <c r="BC25" s="217"/>
      <c r="BD25" s="217"/>
      <c r="BE25" s="217"/>
      <c r="BF25" s="215"/>
      <c r="BG25" s="217"/>
      <c r="BH25" s="217"/>
      <c r="BI25" s="217"/>
      <c r="BJ25" s="140">
        <f t="shared" si="2"/>
        <v>0</v>
      </c>
      <c r="BK25" s="61">
        <f t="shared" si="0"/>
        <v>0</v>
      </c>
      <c r="BL25" s="132">
        <f t="shared" si="1"/>
        <v>109012.5</v>
      </c>
      <c r="BM25" s="192"/>
      <c r="BN25" s="60"/>
      <c r="BO25" s="60"/>
      <c r="BP25" s="141"/>
      <c r="BQ25" s="233">
        <v>24350</v>
      </c>
      <c r="BR25" s="233">
        <v>23625</v>
      </c>
      <c r="BS25" s="233">
        <v>23625</v>
      </c>
      <c r="BT25" s="233"/>
      <c r="BU25" s="233"/>
      <c r="BV25" s="233"/>
      <c r="BW25" s="22"/>
      <c r="BY25" s="22"/>
      <c r="CA25" s="24"/>
      <c r="CB25" s="22"/>
    </row>
    <row r="26" spans="1:116" s="23" customFormat="1" ht="26">
      <c r="A26" s="170">
        <v>3.2</v>
      </c>
      <c r="B26" s="171" t="s">
        <v>192</v>
      </c>
      <c r="C26" s="172">
        <v>2622140.19</v>
      </c>
      <c r="D26" s="153"/>
      <c r="E26" s="141"/>
      <c r="F26" s="215"/>
      <c r="G26" s="216"/>
      <c r="H26" s="216"/>
      <c r="I26" s="216"/>
      <c r="J26" s="215"/>
      <c r="K26" s="217"/>
      <c r="L26" s="217"/>
      <c r="M26" s="217"/>
      <c r="N26" s="215"/>
      <c r="O26" s="217"/>
      <c r="P26" s="217"/>
      <c r="Q26" s="217"/>
      <c r="R26" s="215"/>
      <c r="S26" s="217"/>
      <c r="T26" s="217"/>
      <c r="U26" s="217"/>
      <c r="V26" s="215"/>
      <c r="W26" s="217"/>
      <c r="X26" s="217"/>
      <c r="Y26" s="217"/>
      <c r="Z26" s="215"/>
      <c r="AA26" s="217"/>
      <c r="AB26" s="217"/>
      <c r="AC26" s="217"/>
      <c r="AD26" s="215"/>
      <c r="AE26" s="217"/>
      <c r="AF26" s="217"/>
      <c r="AG26" s="217"/>
      <c r="AH26" s="215"/>
      <c r="AI26" s="217"/>
      <c r="AJ26" s="217"/>
      <c r="AK26" s="217"/>
      <c r="AL26" s="215"/>
      <c r="AM26" s="217"/>
      <c r="AN26" s="217"/>
      <c r="AO26" s="217"/>
      <c r="AP26" s="215"/>
      <c r="AQ26" s="217"/>
      <c r="AR26" s="217"/>
      <c r="AS26" s="217"/>
      <c r="AT26" s="215"/>
      <c r="AU26" s="217"/>
      <c r="AV26" s="217"/>
      <c r="AW26" s="217"/>
      <c r="AX26" s="215"/>
      <c r="AY26" s="217"/>
      <c r="AZ26" s="217"/>
      <c r="BA26" s="217"/>
      <c r="BB26" s="215"/>
      <c r="BC26" s="217"/>
      <c r="BD26" s="217"/>
      <c r="BE26" s="217"/>
      <c r="BF26" s="215"/>
      <c r="BG26" s="217"/>
      <c r="BH26" s="217"/>
      <c r="BI26" s="217"/>
      <c r="BJ26" s="140">
        <f t="shared" ref="BJ26" si="10">SUM(F26:BI26)</f>
        <v>0</v>
      </c>
      <c r="BK26" s="61">
        <f t="shared" ref="BK26" si="11">BJ26/C26</f>
        <v>0</v>
      </c>
      <c r="BL26" s="132">
        <f t="shared" ref="BL26" si="12">C26-BJ26</f>
        <v>2622140.19</v>
      </c>
      <c r="BM26" s="192"/>
      <c r="BN26" s="60"/>
      <c r="BO26" s="60"/>
      <c r="BP26" s="141"/>
      <c r="BQ26" s="233">
        <v>143243.79999999999</v>
      </c>
      <c r="BR26" s="233">
        <v>537389.1</v>
      </c>
      <c r="BS26" s="233">
        <v>805562</v>
      </c>
      <c r="BT26" s="233"/>
      <c r="BU26" s="233"/>
      <c r="BV26" s="233"/>
      <c r="BW26" s="22"/>
      <c r="BY26" s="22"/>
      <c r="CA26" s="24"/>
      <c r="CB26" s="22"/>
    </row>
    <row r="27" spans="1:116" s="23" customFormat="1" ht="26">
      <c r="A27" s="170">
        <v>3.3</v>
      </c>
      <c r="B27" s="171" t="s">
        <v>193</v>
      </c>
      <c r="C27" s="172">
        <v>3404085.63</v>
      </c>
      <c r="D27" s="153"/>
      <c r="E27" s="141"/>
      <c r="F27" s="215"/>
      <c r="G27" s="216"/>
      <c r="H27" s="216"/>
      <c r="I27" s="216"/>
      <c r="J27" s="215"/>
      <c r="K27" s="217"/>
      <c r="L27" s="217"/>
      <c r="M27" s="217"/>
      <c r="N27" s="215"/>
      <c r="O27" s="217"/>
      <c r="P27" s="217"/>
      <c r="Q27" s="217"/>
      <c r="R27" s="215"/>
      <c r="S27" s="217"/>
      <c r="T27" s="217"/>
      <c r="U27" s="217"/>
      <c r="V27" s="215"/>
      <c r="W27" s="217"/>
      <c r="X27" s="217"/>
      <c r="Y27" s="217"/>
      <c r="Z27" s="215"/>
      <c r="AA27" s="217"/>
      <c r="AB27" s="217"/>
      <c r="AC27" s="217"/>
      <c r="AD27" s="215"/>
      <c r="AE27" s="217"/>
      <c r="AF27" s="217"/>
      <c r="AG27" s="217"/>
      <c r="AH27" s="215"/>
      <c r="AI27" s="217"/>
      <c r="AJ27" s="217"/>
      <c r="AK27" s="217"/>
      <c r="AL27" s="215"/>
      <c r="AM27" s="217"/>
      <c r="AN27" s="217"/>
      <c r="AO27" s="217"/>
      <c r="AP27" s="215"/>
      <c r="AQ27" s="217"/>
      <c r="AR27" s="217"/>
      <c r="AS27" s="217"/>
      <c r="AT27" s="215"/>
      <c r="AU27" s="217"/>
      <c r="AV27" s="217"/>
      <c r="AW27" s="217"/>
      <c r="AX27" s="215"/>
      <c r="AY27" s="217"/>
      <c r="AZ27" s="217"/>
      <c r="BA27" s="217"/>
      <c r="BB27" s="215"/>
      <c r="BC27" s="217"/>
      <c r="BD27" s="217"/>
      <c r="BE27" s="217"/>
      <c r="BF27" s="215"/>
      <c r="BG27" s="217"/>
      <c r="BH27" s="217"/>
      <c r="BI27" s="217"/>
      <c r="BJ27" s="140">
        <f t="shared" si="2"/>
        <v>0</v>
      </c>
      <c r="BK27" s="61">
        <f t="shared" si="0"/>
        <v>0</v>
      </c>
      <c r="BL27" s="132">
        <f t="shared" si="1"/>
        <v>3404085.63</v>
      </c>
      <c r="BM27" s="192"/>
      <c r="BN27" s="60"/>
      <c r="BO27" s="60"/>
      <c r="BP27" s="141"/>
      <c r="BQ27" s="233">
        <v>138505.4</v>
      </c>
      <c r="BR27" s="233">
        <v>672008.3</v>
      </c>
      <c r="BS27" s="233">
        <v>1084575.3500000001</v>
      </c>
      <c r="BT27" s="233"/>
      <c r="BU27" s="233"/>
      <c r="BV27" s="233"/>
      <c r="BW27" s="22"/>
      <c r="BY27" s="22"/>
      <c r="CA27" s="24"/>
      <c r="CB27" s="22"/>
    </row>
    <row r="28" spans="1:116" s="23" customFormat="1" ht="13">
      <c r="A28" s="170">
        <v>3.4</v>
      </c>
      <c r="B28" s="171" t="s">
        <v>181</v>
      </c>
      <c r="C28" s="172">
        <v>429466.68240000005</v>
      </c>
      <c r="D28" s="153"/>
      <c r="E28" s="141"/>
      <c r="F28" s="215"/>
      <c r="G28" s="216"/>
      <c r="H28" s="216"/>
      <c r="I28" s="216"/>
      <c r="J28" s="215"/>
      <c r="K28" s="217"/>
      <c r="L28" s="217"/>
      <c r="M28" s="217"/>
      <c r="N28" s="215"/>
      <c r="O28" s="217"/>
      <c r="P28" s="217"/>
      <c r="Q28" s="217"/>
      <c r="R28" s="215"/>
      <c r="S28" s="217"/>
      <c r="T28" s="217"/>
      <c r="U28" s="217"/>
      <c r="V28" s="215"/>
      <c r="W28" s="217"/>
      <c r="X28" s="217"/>
      <c r="Y28" s="217"/>
      <c r="Z28" s="215"/>
      <c r="AA28" s="217"/>
      <c r="AB28" s="217"/>
      <c r="AC28" s="217"/>
      <c r="AD28" s="215"/>
      <c r="AE28" s="217"/>
      <c r="AF28" s="217"/>
      <c r="AG28" s="217"/>
      <c r="AH28" s="215"/>
      <c r="AI28" s="217"/>
      <c r="AJ28" s="217"/>
      <c r="AK28" s="217"/>
      <c r="AL28" s="215"/>
      <c r="AM28" s="217"/>
      <c r="AN28" s="217"/>
      <c r="AO28" s="217"/>
      <c r="AP28" s="215"/>
      <c r="AQ28" s="217"/>
      <c r="AR28" s="217"/>
      <c r="AS28" s="217"/>
      <c r="AT28" s="215"/>
      <c r="AU28" s="217"/>
      <c r="AV28" s="217"/>
      <c r="AW28" s="217"/>
      <c r="AX28" s="215"/>
      <c r="AY28" s="217"/>
      <c r="AZ28" s="217"/>
      <c r="BA28" s="217"/>
      <c r="BB28" s="215"/>
      <c r="BC28" s="217"/>
      <c r="BD28" s="217"/>
      <c r="BE28" s="217"/>
      <c r="BF28" s="215"/>
      <c r="BG28" s="217"/>
      <c r="BH28" s="217"/>
      <c r="BI28" s="217"/>
      <c r="BJ28" s="140">
        <f t="shared" si="2"/>
        <v>0</v>
      </c>
      <c r="BK28" s="61">
        <f t="shared" si="0"/>
        <v>0</v>
      </c>
      <c r="BL28" s="132">
        <f t="shared" si="1"/>
        <v>429466.68240000005</v>
      </c>
      <c r="BM28" s="192"/>
      <c r="BN28" s="60"/>
      <c r="BO28" s="60"/>
      <c r="BP28" s="141"/>
      <c r="BQ28" s="233">
        <f>(BQ25+BQ26+BQ27)*0.07</f>
        <v>21426.944</v>
      </c>
      <c r="BR28" s="233">
        <f t="shared" ref="BR28:BS28" si="13">(BR25+BR26+BR27)*0.07</f>
        <v>86311.567999999999</v>
      </c>
      <c r="BS28" s="233">
        <f t="shared" si="13"/>
        <v>133963.36450000003</v>
      </c>
      <c r="BT28" s="233"/>
      <c r="BU28" s="233"/>
      <c r="BV28" s="233"/>
      <c r="BW28" s="22"/>
      <c r="BY28" s="22"/>
      <c r="CA28" s="24"/>
      <c r="CB28" s="22"/>
    </row>
    <row r="29" spans="1:116" s="23" customFormat="1" ht="26">
      <c r="A29" s="168">
        <v>4</v>
      </c>
      <c r="B29" s="169" t="s">
        <v>194</v>
      </c>
      <c r="C29" s="58">
        <f>SUM(C30:C34)</f>
        <v>6531885.1169999996</v>
      </c>
      <c r="D29" s="173">
        <v>0.85</v>
      </c>
      <c r="E29" s="139">
        <f>ROUND(C29/$C$9*D29,2)</f>
        <v>5358753.18</v>
      </c>
      <c r="F29" s="213">
        <f>SUMIFS(F$10:F$38,$A$10:$A$38,"&lt;"&amp;$A$35,$A$10:$A$38,"&gt;"&amp;$A$29)</f>
        <v>0</v>
      </c>
      <c r="G29" s="214">
        <f>ROUND(F29/$F$9,2)</f>
        <v>0</v>
      </c>
      <c r="H29" s="214">
        <f>G29-I29</f>
        <v>0</v>
      </c>
      <c r="I29" s="214">
        <f>ROUND(F29/F$9*$D29,2)</f>
        <v>0</v>
      </c>
      <c r="J29" s="213">
        <f>SUMIFS(J$10:J$38,$A$10:$A$38,"&lt;"&amp;$A$35,$A$10:$A$38,"&gt;"&amp;$A$29)</f>
        <v>0</v>
      </c>
      <c r="K29" s="214">
        <f>ROUND(J29/J$9,2)</f>
        <v>0</v>
      </c>
      <c r="L29" s="214">
        <f>K29-M29</f>
        <v>0</v>
      </c>
      <c r="M29" s="214">
        <f>ROUND(J29/J$9*$D29,2)</f>
        <v>0</v>
      </c>
      <c r="N29" s="213">
        <f>SUMIFS(N$10:N$38,$A$10:$A$38,"&lt;"&amp;$A$35,$A$10:$A$38,"&gt;"&amp;$A$29)</f>
        <v>0</v>
      </c>
      <c r="O29" s="214">
        <f>ROUND(N29/N$9,2)</f>
        <v>0</v>
      </c>
      <c r="P29" s="214">
        <f>O29-Q29</f>
        <v>0</v>
      </c>
      <c r="Q29" s="214">
        <f>ROUND(N29/N$9*$D29,2)</f>
        <v>0</v>
      </c>
      <c r="R29" s="213">
        <f>SUMIFS(R$10:R$38,$A$10:$A$38,"&lt;"&amp;$A$35,$A$10:$A$38,"&gt;"&amp;$A$29)</f>
        <v>0</v>
      </c>
      <c r="S29" s="214">
        <f>ROUND(R29/R$9,2)</f>
        <v>0</v>
      </c>
      <c r="T29" s="214">
        <f>S29-U29</f>
        <v>0</v>
      </c>
      <c r="U29" s="214">
        <f>ROUND(R29/R$9*$D29,2)</f>
        <v>0</v>
      </c>
      <c r="V29" s="213">
        <f>SUMIFS(V$10:V$38,$A$10:$A$38,"&lt;"&amp;$A$35,$A$10:$A$38,"&gt;"&amp;$A$29)</f>
        <v>0</v>
      </c>
      <c r="W29" s="214">
        <f>ROUND(V29/V$9,2)</f>
        <v>0</v>
      </c>
      <c r="X29" s="214">
        <f>W29-Y29</f>
        <v>0</v>
      </c>
      <c r="Y29" s="214">
        <f>ROUND(V29/V$9*$D29,2)</f>
        <v>0</v>
      </c>
      <c r="Z29" s="213">
        <f>SUMIFS(Z$10:Z$38,$A$10:$A$38,"&lt;"&amp;$A$35,$A$10:$A$38,"&gt;"&amp;$A$29)</f>
        <v>0</v>
      </c>
      <c r="AA29" s="214">
        <f>ROUND(Z29/Z$9,2)</f>
        <v>0</v>
      </c>
      <c r="AB29" s="214">
        <f>AA29-AC29</f>
        <v>0</v>
      </c>
      <c r="AC29" s="214">
        <f>ROUND(Z29/Z$9*$D29,2)</f>
        <v>0</v>
      </c>
      <c r="AD29" s="213">
        <f>SUMIFS(AD$10:AD$38,$A$10:$A$38,"&lt;"&amp;$A$35,$A$10:$A$38,"&gt;"&amp;$A$29)</f>
        <v>0</v>
      </c>
      <c r="AE29" s="214">
        <f>ROUND(AD29/AD$9,2)</f>
        <v>0</v>
      </c>
      <c r="AF29" s="214">
        <f>AE29-AG29</f>
        <v>0</v>
      </c>
      <c r="AG29" s="214">
        <f>ROUND(AD29/AD$9*$D29,2)</f>
        <v>0</v>
      </c>
      <c r="AH29" s="213">
        <f>SUMIFS(AH$10:AH$38,$A$10:$A$38,"&lt;"&amp;$A$35,$A$10:$A$38,"&gt;"&amp;$A$29)</f>
        <v>0</v>
      </c>
      <c r="AI29" s="214">
        <f>ROUND(AH29/AH$9,2)</f>
        <v>0</v>
      </c>
      <c r="AJ29" s="214">
        <f>AI29-AK29</f>
        <v>0</v>
      </c>
      <c r="AK29" s="214">
        <f>ROUND(AH29/AH$9*$D29,2)</f>
        <v>0</v>
      </c>
      <c r="AL29" s="213">
        <f>SUMIFS(AL$10:AL$38,$A$10:$A$38,"&lt;"&amp;$A$35,$A$10:$A$38,"&gt;"&amp;$A$29)</f>
        <v>0</v>
      </c>
      <c r="AM29" s="214">
        <f>ROUND(AL29/AL$9,2)</f>
        <v>0</v>
      </c>
      <c r="AN29" s="214">
        <f>AM29-AO29</f>
        <v>0</v>
      </c>
      <c r="AO29" s="214">
        <f>ROUND(AL29/AL$9*$D29,2)</f>
        <v>0</v>
      </c>
      <c r="AP29" s="213">
        <f>SUMIFS(AP$10:AP$38,$A$10:$A$38,"&lt;"&amp;$A$35,$A$10:$A$38,"&gt;"&amp;$A$29)</f>
        <v>0</v>
      </c>
      <c r="AQ29" s="214">
        <f>ROUND(AP29/AP$9,2)</f>
        <v>0</v>
      </c>
      <c r="AR29" s="214">
        <f>AQ29-AS29</f>
        <v>0</v>
      </c>
      <c r="AS29" s="214">
        <f>ROUND(AP29/AP$9*$D29,2)</f>
        <v>0</v>
      </c>
      <c r="AT29" s="213">
        <f>SUMIFS(AT$10:AT$38,$A$10:$A$38,"&lt;"&amp;$A$35,$A$10:$A$38,"&gt;"&amp;$A$29)</f>
        <v>0</v>
      </c>
      <c r="AU29" s="214">
        <f>ROUND(AT29/AT$9,2)</f>
        <v>0</v>
      </c>
      <c r="AV29" s="214">
        <f>AU29-AW29</f>
        <v>0</v>
      </c>
      <c r="AW29" s="214">
        <f>ROUND(AT29/AT$9*$D29,2)</f>
        <v>0</v>
      </c>
      <c r="AX29" s="213">
        <f>SUMIFS(AX$10:AX$38,$A$10:$A$38,"&lt;"&amp;$A$35,$A$10:$A$38,"&gt;"&amp;$A$29)</f>
        <v>0</v>
      </c>
      <c r="AY29" s="214">
        <f>ROUND(AX29/AX$9,2)</f>
        <v>0</v>
      </c>
      <c r="AZ29" s="214">
        <f>AY29-BA29</f>
        <v>0</v>
      </c>
      <c r="BA29" s="214">
        <f>ROUND(AX29/AX$9*$D29,2)</f>
        <v>0</v>
      </c>
      <c r="BB29" s="213">
        <f>SUMIFS(BB$10:BB$38,$A$10:$A$38,"&lt;"&amp;$A$35,$A$10:$A$38,"&gt;"&amp;$A$29)</f>
        <v>0</v>
      </c>
      <c r="BC29" s="214">
        <f>ROUND(BB29/BB$9,2)</f>
        <v>0</v>
      </c>
      <c r="BD29" s="214">
        <f>BC29-BE29</f>
        <v>0</v>
      </c>
      <c r="BE29" s="214">
        <f>ROUND(BB29/BB$9*$D29,2)</f>
        <v>0</v>
      </c>
      <c r="BF29" s="213">
        <f>SUMIFS(BF$10:BF$38,$A$10:$A$38,"&lt;"&amp;$A$35,$A$10:$A$38,"&gt;"&amp;$A$29)</f>
        <v>0</v>
      </c>
      <c r="BG29" s="214">
        <f>ROUND(BF29/BF$9,2)</f>
        <v>0</v>
      </c>
      <c r="BH29" s="214">
        <f>BG29-BI29</f>
        <v>0</v>
      </c>
      <c r="BI29" s="214">
        <f>ROUND(BF29/BF$9*$D29,2)</f>
        <v>0</v>
      </c>
      <c r="BJ29" s="138">
        <f>SUM(BJ30:BJ34)</f>
        <v>0</v>
      </c>
      <c r="BK29" s="59">
        <f t="shared" si="0"/>
        <v>0</v>
      </c>
      <c r="BL29" s="131">
        <f t="shared" si="1"/>
        <v>6531885.1169999996</v>
      </c>
      <c r="BM29" s="191">
        <f>G29+K29+O29+S29+W29+AA29+AE29+AI29+AM29+AQ29+AU29+AY29+BC29+BG29</f>
        <v>0</v>
      </c>
      <c r="BN29" s="58">
        <f>I29+M29+Q29+U29+Y29+AC29+AG29+AK29+AO29+AS29+AW29+BA29+BE29+BI29</f>
        <v>0</v>
      </c>
      <c r="BO29" s="59">
        <f>BN29/E29</f>
        <v>0</v>
      </c>
      <c r="BP29" s="139">
        <f>E29-BN29</f>
        <v>5358753.18</v>
      </c>
      <c r="BQ29" s="238">
        <f>SUM(BQ30:BQ34)</f>
        <v>135890</v>
      </c>
      <c r="BR29" s="238">
        <f t="shared" ref="BR29:BS29" si="14">SUM(BR30:BR34)</f>
        <v>313724</v>
      </c>
      <c r="BS29" s="238">
        <f t="shared" si="14"/>
        <v>1260224</v>
      </c>
      <c r="BT29" s="238">
        <f>ROUND(135890/1.036081,0)</f>
        <v>131158</v>
      </c>
      <c r="BU29" s="238">
        <f>ROUND(2313724/1.036081,0)</f>
        <v>2233150</v>
      </c>
      <c r="BV29" s="238">
        <f>ROUND(2260224/1.036081,0)</f>
        <v>2181513</v>
      </c>
      <c r="BW29" s="22"/>
      <c r="BY29" s="22"/>
      <c r="CA29" s="24"/>
      <c r="CB29" s="22"/>
    </row>
    <row r="30" spans="1:116" s="23" customFormat="1" ht="13">
      <c r="A30" s="170">
        <v>4.0999999999999996</v>
      </c>
      <c r="B30" s="171" t="s">
        <v>195</v>
      </c>
      <c r="C30" s="172">
        <v>102600</v>
      </c>
      <c r="D30" s="153"/>
      <c r="E30" s="141"/>
      <c r="F30" s="215"/>
      <c r="G30" s="216"/>
      <c r="H30" s="216"/>
      <c r="I30" s="216"/>
      <c r="J30" s="215"/>
      <c r="K30" s="217"/>
      <c r="L30" s="217"/>
      <c r="M30" s="217"/>
      <c r="N30" s="215"/>
      <c r="O30" s="217"/>
      <c r="P30" s="217"/>
      <c r="Q30" s="217"/>
      <c r="R30" s="215"/>
      <c r="S30" s="217"/>
      <c r="T30" s="217"/>
      <c r="U30" s="217"/>
      <c r="V30" s="215"/>
      <c r="W30" s="217"/>
      <c r="X30" s="217"/>
      <c r="Y30" s="217"/>
      <c r="Z30" s="215"/>
      <c r="AA30" s="217"/>
      <c r="AB30" s="217"/>
      <c r="AC30" s="217"/>
      <c r="AD30" s="215"/>
      <c r="AE30" s="217"/>
      <c r="AF30" s="217"/>
      <c r="AG30" s="217"/>
      <c r="AH30" s="215"/>
      <c r="AI30" s="217"/>
      <c r="AJ30" s="217"/>
      <c r="AK30" s="217"/>
      <c r="AL30" s="215"/>
      <c r="AM30" s="217"/>
      <c r="AN30" s="217"/>
      <c r="AO30" s="217"/>
      <c r="AP30" s="215"/>
      <c r="AQ30" s="217"/>
      <c r="AR30" s="217"/>
      <c r="AS30" s="217"/>
      <c r="AT30" s="215"/>
      <c r="AU30" s="217"/>
      <c r="AV30" s="217"/>
      <c r="AW30" s="217"/>
      <c r="AX30" s="215"/>
      <c r="AY30" s="217"/>
      <c r="AZ30" s="217"/>
      <c r="BA30" s="217"/>
      <c r="BB30" s="215"/>
      <c r="BC30" s="217"/>
      <c r="BD30" s="217"/>
      <c r="BE30" s="217"/>
      <c r="BF30" s="215"/>
      <c r="BG30" s="217"/>
      <c r="BH30" s="217"/>
      <c r="BI30" s="217"/>
      <c r="BJ30" s="140">
        <f t="shared" si="2"/>
        <v>0</v>
      </c>
      <c r="BK30" s="61">
        <f t="shared" si="0"/>
        <v>0</v>
      </c>
      <c r="BL30" s="132">
        <f t="shared" si="1"/>
        <v>102600</v>
      </c>
      <c r="BM30" s="192"/>
      <c r="BN30" s="60"/>
      <c r="BO30" s="60"/>
      <c r="BP30" s="141"/>
      <c r="BQ30" s="233">
        <v>33000</v>
      </c>
      <c r="BR30" s="60">
        <v>33000</v>
      </c>
      <c r="BS30" s="141">
        <v>33000</v>
      </c>
      <c r="BT30" s="233"/>
      <c r="BU30" s="60"/>
      <c r="BV30" s="141"/>
      <c r="BW30" s="22"/>
      <c r="BY30" s="22"/>
      <c r="CA30" s="24"/>
      <c r="CB30" s="22"/>
    </row>
    <row r="31" spans="1:116" s="23" customFormat="1" ht="13">
      <c r="A31" s="170">
        <v>4.2</v>
      </c>
      <c r="B31" s="171" t="s">
        <v>196</v>
      </c>
      <c r="C31" s="172">
        <v>62765.297000000006</v>
      </c>
      <c r="D31" s="153"/>
      <c r="E31" s="141"/>
      <c r="F31" s="215"/>
      <c r="G31" s="216"/>
      <c r="H31" s="216"/>
      <c r="I31" s="216"/>
      <c r="J31" s="215"/>
      <c r="K31" s="217"/>
      <c r="L31" s="217"/>
      <c r="M31" s="217"/>
      <c r="N31" s="215"/>
      <c r="O31" s="217"/>
      <c r="P31" s="217"/>
      <c r="Q31" s="217"/>
      <c r="R31" s="215"/>
      <c r="S31" s="217"/>
      <c r="T31" s="217"/>
      <c r="U31" s="217"/>
      <c r="V31" s="215"/>
      <c r="W31" s="217"/>
      <c r="X31" s="217"/>
      <c r="Y31" s="217"/>
      <c r="Z31" s="215"/>
      <c r="AA31" s="217"/>
      <c r="AB31" s="217"/>
      <c r="AC31" s="217"/>
      <c r="AD31" s="215"/>
      <c r="AE31" s="217"/>
      <c r="AF31" s="217"/>
      <c r="AG31" s="217"/>
      <c r="AH31" s="215"/>
      <c r="AI31" s="217"/>
      <c r="AJ31" s="217"/>
      <c r="AK31" s="217"/>
      <c r="AL31" s="215"/>
      <c r="AM31" s="217"/>
      <c r="AN31" s="217"/>
      <c r="AO31" s="217"/>
      <c r="AP31" s="215"/>
      <c r="AQ31" s="217"/>
      <c r="AR31" s="217"/>
      <c r="AS31" s="217"/>
      <c r="AT31" s="215"/>
      <c r="AU31" s="217"/>
      <c r="AV31" s="217"/>
      <c r="AW31" s="217"/>
      <c r="AX31" s="215"/>
      <c r="AY31" s="217"/>
      <c r="AZ31" s="217"/>
      <c r="BA31" s="217"/>
      <c r="BB31" s="215"/>
      <c r="BC31" s="217"/>
      <c r="BD31" s="217"/>
      <c r="BE31" s="217"/>
      <c r="BF31" s="215"/>
      <c r="BG31" s="217"/>
      <c r="BH31" s="217"/>
      <c r="BI31" s="217"/>
      <c r="BJ31" s="140">
        <f t="shared" si="2"/>
        <v>0</v>
      </c>
      <c r="BK31" s="61">
        <f t="shared" si="0"/>
        <v>0</v>
      </c>
      <c r="BL31" s="132">
        <f t="shared" si="1"/>
        <v>62765.297000000006</v>
      </c>
      <c r="BM31" s="192"/>
      <c r="BN31" s="60"/>
      <c r="BO31" s="60"/>
      <c r="BP31" s="141"/>
      <c r="BQ31" s="233">
        <f>(BQ30+BQ33+BQ34)*0.07</f>
        <v>8890</v>
      </c>
      <c r="BR31" s="233">
        <f t="shared" ref="BR31:BS31" si="15">(BR30+BR33+BR34)*0.07</f>
        <v>20524.000000000004</v>
      </c>
      <c r="BS31" s="233">
        <f t="shared" si="15"/>
        <v>17024</v>
      </c>
      <c r="BT31" s="233"/>
      <c r="BU31" s="233"/>
      <c r="BV31" s="233"/>
      <c r="BW31" s="22"/>
      <c r="BY31" s="22"/>
      <c r="CA31" s="24"/>
      <c r="CB31" s="22"/>
    </row>
    <row r="32" spans="1:116" s="23" customFormat="1" ht="26">
      <c r="A32" s="170">
        <v>4.3</v>
      </c>
      <c r="B32" s="171" t="s">
        <v>197</v>
      </c>
      <c r="C32" s="172">
        <v>5572472.7199999997</v>
      </c>
      <c r="D32" s="153"/>
      <c r="E32" s="141"/>
      <c r="F32" s="215"/>
      <c r="G32" s="216"/>
      <c r="H32" s="216"/>
      <c r="I32" s="216"/>
      <c r="J32" s="215"/>
      <c r="K32" s="217"/>
      <c r="L32" s="217"/>
      <c r="M32" s="217"/>
      <c r="N32" s="215"/>
      <c r="O32" s="217"/>
      <c r="P32" s="217"/>
      <c r="Q32" s="217"/>
      <c r="R32" s="215"/>
      <c r="S32" s="217"/>
      <c r="T32" s="217"/>
      <c r="U32" s="217"/>
      <c r="V32" s="215"/>
      <c r="W32" s="217"/>
      <c r="X32" s="217"/>
      <c r="Y32" s="217"/>
      <c r="Z32" s="215"/>
      <c r="AA32" s="217"/>
      <c r="AB32" s="217"/>
      <c r="AC32" s="217"/>
      <c r="AD32" s="215"/>
      <c r="AE32" s="217"/>
      <c r="AF32" s="217"/>
      <c r="AG32" s="217"/>
      <c r="AH32" s="215"/>
      <c r="AI32" s="217"/>
      <c r="AJ32" s="217"/>
      <c r="AK32" s="217"/>
      <c r="AL32" s="215"/>
      <c r="AM32" s="217"/>
      <c r="AN32" s="217"/>
      <c r="AO32" s="217"/>
      <c r="AP32" s="215"/>
      <c r="AQ32" s="217"/>
      <c r="AR32" s="217"/>
      <c r="AS32" s="217"/>
      <c r="AT32" s="215"/>
      <c r="AU32" s="217"/>
      <c r="AV32" s="217"/>
      <c r="AW32" s="217"/>
      <c r="AX32" s="215"/>
      <c r="AY32" s="217"/>
      <c r="AZ32" s="217"/>
      <c r="BA32" s="217"/>
      <c r="BB32" s="215"/>
      <c r="BC32" s="217"/>
      <c r="BD32" s="217"/>
      <c r="BE32" s="217"/>
      <c r="BF32" s="215"/>
      <c r="BG32" s="217"/>
      <c r="BH32" s="217"/>
      <c r="BI32" s="217"/>
      <c r="BJ32" s="140">
        <f t="shared" si="2"/>
        <v>0</v>
      </c>
      <c r="BK32" s="61">
        <f t="shared" si="0"/>
        <v>0</v>
      </c>
      <c r="BL32" s="132">
        <f t="shared" si="1"/>
        <v>5572472.7199999997</v>
      </c>
      <c r="BM32" s="192"/>
      <c r="BN32" s="60"/>
      <c r="BO32" s="60"/>
      <c r="BP32" s="141"/>
      <c r="BQ32" s="233">
        <v>0</v>
      </c>
      <c r="BR32" s="233" t="s">
        <v>349</v>
      </c>
      <c r="BS32" s="233">
        <v>1000000</v>
      </c>
      <c r="BT32" s="233"/>
      <c r="BU32" s="233"/>
      <c r="BV32" s="233"/>
      <c r="BW32" s="22"/>
      <c r="BY32" s="22"/>
      <c r="CA32" s="24"/>
      <c r="CB32" s="22"/>
    </row>
    <row r="33" spans="1:80" s="23" customFormat="1" ht="13">
      <c r="A33" s="223" t="s">
        <v>198</v>
      </c>
      <c r="B33" s="171" t="s">
        <v>199</v>
      </c>
      <c r="C33" s="172">
        <v>152617.5</v>
      </c>
      <c r="D33" s="153"/>
      <c r="E33" s="141"/>
      <c r="F33" s="215"/>
      <c r="G33" s="216"/>
      <c r="H33" s="216"/>
      <c r="I33" s="216"/>
      <c r="J33" s="215"/>
      <c r="K33" s="217"/>
      <c r="L33" s="217"/>
      <c r="M33" s="217"/>
      <c r="N33" s="215"/>
      <c r="O33" s="217"/>
      <c r="P33" s="217"/>
      <c r="Q33" s="217"/>
      <c r="R33" s="215"/>
      <c r="S33" s="217"/>
      <c r="T33" s="217"/>
      <c r="U33" s="217"/>
      <c r="V33" s="215"/>
      <c r="W33" s="217"/>
      <c r="X33" s="217"/>
      <c r="Y33" s="217"/>
      <c r="Z33" s="215"/>
      <c r="AA33" s="217"/>
      <c r="AB33" s="217"/>
      <c r="AC33" s="217"/>
      <c r="AD33" s="215"/>
      <c r="AE33" s="217"/>
      <c r="AF33" s="217"/>
      <c r="AG33" s="217"/>
      <c r="AH33" s="215"/>
      <c r="AI33" s="217"/>
      <c r="AJ33" s="217"/>
      <c r="AK33" s="217"/>
      <c r="AL33" s="215"/>
      <c r="AM33" s="217"/>
      <c r="AN33" s="217"/>
      <c r="AO33" s="217"/>
      <c r="AP33" s="215"/>
      <c r="AQ33" s="217"/>
      <c r="AR33" s="217"/>
      <c r="AS33" s="217"/>
      <c r="AT33" s="215"/>
      <c r="AU33" s="217"/>
      <c r="AV33" s="217"/>
      <c r="AW33" s="217"/>
      <c r="AX33" s="215"/>
      <c r="AY33" s="217"/>
      <c r="AZ33" s="217"/>
      <c r="BA33" s="217"/>
      <c r="BB33" s="215"/>
      <c r="BC33" s="217"/>
      <c r="BD33" s="217"/>
      <c r="BE33" s="217"/>
      <c r="BF33" s="215"/>
      <c r="BG33" s="217"/>
      <c r="BH33" s="217"/>
      <c r="BI33" s="217"/>
      <c r="BJ33" s="140">
        <f t="shared" si="2"/>
        <v>0</v>
      </c>
      <c r="BK33" s="61">
        <f t="shared" si="0"/>
        <v>0</v>
      </c>
      <c r="BL33" s="132">
        <f t="shared" si="1"/>
        <v>152617.5</v>
      </c>
      <c r="BM33" s="192"/>
      <c r="BN33" s="60"/>
      <c r="BO33" s="60"/>
      <c r="BP33" s="141"/>
      <c r="BQ33" s="233">
        <v>40000</v>
      </c>
      <c r="BR33" s="233">
        <v>60200</v>
      </c>
      <c r="BS33" s="233">
        <v>60200</v>
      </c>
      <c r="BT33" s="233"/>
      <c r="BU33" s="233"/>
      <c r="BV33" s="233"/>
      <c r="BW33" s="22"/>
      <c r="BY33" s="22"/>
      <c r="CA33" s="24"/>
      <c r="CB33" s="22"/>
    </row>
    <row r="34" spans="1:80" s="23" customFormat="1" ht="39">
      <c r="A34" s="170">
        <v>4.4000000000000004</v>
      </c>
      <c r="B34" s="171" t="s">
        <v>200</v>
      </c>
      <c r="C34" s="172">
        <v>641429.6</v>
      </c>
      <c r="D34" s="153"/>
      <c r="E34" s="141"/>
      <c r="F34" s="215"/>
      <c r="G34" s="216"/>
      <c r="H34" s="216"/>
      <c r="I34" s="216"/>
      <c r="J34" s="215"/>
      <c r="K34" s="217"/>
      <c r="L34" s="217"/>
      <c r="M34" s="217"/>
      <c r="N34" s="215"/>
      <c r="O34" s="217"/>
      <c r="P34" s="217"/>
      <c r="Q34" s="217"/>
      <c r="R34" s="215"/>
      <c r="S34" s="217"/>
      <c r="T34" s="217"/>
      <c r="U34" s="217"/>
      <c r="V34" s="215"/>
      <c r="W34" s="217"/>
      <c r="X34" s="217"/>
      <c r="Y34" s="217"/>
      <c r="Z34" s="215"/>
      <c r="AA34" s="217"/>
      <c r="AB34" s="217"/>
      <c r="AC34" s="217"/>
      <c r="AD34" s="215"/>
      <c r="AE34" s="217"/>
      <c r="AF34" s="217"/>
      <c r="AG34" s="217"/>
      <c r="AH34" s="215"/>
      <c r="AI34" s="217"/>
      <c r="AJ34" s="217"/>
      <c r="AK34" s="217"/>
      <c r="AL34" s="215"/>
      <c r="AM34" s="217"/>
      <c r="AN34" s="217"/>
      <c r="AO34" s="217"/>
      <c r="AP34" s="215"/>
      <c r="AQ34" s="217"/>
      <c r="AR34" s="217"/>
      <c r="AS34" s="217"/>
      <c r="AT34" s="215"/>
      <c r="AU34" s="217"/>
      <c r="AV34" s="217"/>
      <c r="AW34" s="217"/>
      <c r="AX34" s="215"/>
      <c r="AY34" s="217"/>
      <c r="AZ34" s="217"/>
      <c r="BA34" s="217"/>
      <c r="BB34" s="215"/>
      <c r="BC34" s="217"/>
      <c r="BD34" s="217"/>
      <c r="BE34" s="217"/>
      <c r="BF34" s="215"/>
      <c r="BG34" s="217"/>
      <c r="BH34" s="217"/>
      <c r="BI34" s="217"/>
      <c r="BJ34" s="140">
        <f t="shared" si="2"/>
        <v>0</v>
      </c>
      <c r="BK34" s="61">
        <f t="shared" si="0"/>
        <v>0</v>
      </c>
      <c r="BL34" s="132">
        <f t="shared" si="1"/>
        <v>641429.6</v>
      </c>
      <c r="BM34" s="192"/>
      <c r="BN34" s="60"/>
      <c r="BO34" s="60"/>
      <c r="BP34" s="141"/>
      <c r="BQ34" s="233">
        <v>54000</v>
      </c>
      <c r="BR34" s="233">
        <v>200000</v>
      </c>
      <c r="BS34" s="233">
        <v>150000</v>
      </c>
      <c r="BT34" s="233"/>
      <c r="BU34" s="233"/>
      <c r="BV34" s="233"/>
      <c r="BW34" s="22"/>
      <c r="BY34" s="22"/>
      <c r="CA34" s="24"/>
      <c r="CB34" s="22"/>
    </row>
    <row r="35" spans="1:80" s="23" customFormat="1" ht="26">
      <c r="A35" s="168">
        <v>5</v>
      </c>
      <c r="B35" s="169" t="s">
        <v>201</v>
      </c>
      <c r="C35" s="58">
        <f>SUM(C36:C38)</f>
        <v>1216022.7929999998</v>
      </c>
      <c r="D35" s="173">
        <v>0.85</v>
      </c>
      <c r="E35" s="139">
        <f>ROUND(C35/$C$9*D35,2)</f>
        <v>997624.1</v>
      </c>
      <c r="F35" s="213">
        <f>SUMIFS(F$10:F$38,$A$10:$A$38,"&lt;"&amp;#REF!,$A$10:$A$38,"&gt;"&amp;$A$35)</f>
        <v>0</v>
      </c>
      <c r="G35" s="214">
        <f>ROUND(F35/$F$9,2)</f>
        <v>0</v>
      </c>
      <c r="H35" s="214">
        <f>G35-I35</f>
        <v>0</v>
      </c>
      <c r="I35" s="214">
        <f>ROUND(F35/F$9*$D35,2)</f>
        <v>0</v>
      </c>
      <c r="J35" s="213">
        <f>SUMIFS(J$10:J$38,$A$10:$A$38,"&lt;"&amp;#REF!,$A$10:$A$38,"&gt;"&amp;$A$35)</f>
        <v>0</v>
      </c>
      <c r="K35" s="214">
        <f>ROUND(J35/J$9,2)</f>
        <v>0</v>
      </c>
      <c r="L35" s="214">
        <f>K35-M35</f>
        <v>0</v>
      </c>
      <c r="M35" s="214">
        <f>ROUND(J35/J$9*$D35,2)</f>
        <v>0</v>
      </c>
      <c r="N35" s="213">
        <f>SUMIFS(N$10:N$38,$A$10:$A$38,"&lt;"&amp;#REF!,$A$10:$A$38,"&gt;"&amp;$A$35)</f>
        <v>0</v>
      </c>
      <c r="O35" s="214">
        <f>ROUND(N35/N$9,2)</f>
        <v>0</v>
      </c>
      <c r="P35" s="214">
        <f>O35-Q35</f>
        <v>0</v>
      </c>
      <c r="Q35" s="214">
        <f>ROUND(N35/N$9*$D35,2)</f>
        <v>0</v>
      </c>
      <c r="R35" s="213">
        <f>SUMIFS(R$10:R$38,$A$10:$A$38,"&lt;"&amp;#REF!,$A$10:$A$38,"&gt;"&amp;$A$35)</f>
        <v>0</v>
      </c>
      <c r="S35" s="214">
        <f>ROUND(R35/R$9,2)</f>
        <v>0</v>
      </c>
      <c r="T35" s="214">
        <f>S35-U35</f>
        <v>0</v>
      </c>
      <c r="U35" s="214">
        <f>ROUND(R35/R$9*$D35,2)</f>
        <v>0</v>
      </c>
      <c r="V35" s="213">
        <f>SUMIFS(V$10:V$38,$A$10:$A$38,"&lt;"&amp;#REF!,$A$10:$A$38,"&gt;"&amp;$A$35)</f>
        <v>0</v>
      </c>
      <c r="W35" s="214">
        <f>ROUND(V35/V$9,2)</f>
        <v>0</v>
      </c>
      <c r="X35" s="214">
        <f>W35-Y35</f>
        <v>0</v>
      </c>
      <c r="Y35" s="214">
        <f>ROUND(V35/V$9*$D35,2)</f>
        <v>0</v>
      </c>
      <c r="Z35" s="213">
        <f>SUMIFS(Z$10:Z$38,$A$10:$A$38,"&lt;"&amp;#REF!,$A$10:$A$38,"&gt;"&amp;$A$35)</f>
        <v>0</v>
      </c>
      <c r="AA35" s="214">
        <f>ROUND(Z35/Z$9,2)</f>
        <v>0</v>
      </c>
      <c r="AB35" s="214">
        <f>AA35-AC35</f>
        <v>0</v>
      </c>
      <c r="AC35" s="214">
        <f>ROUND(Z35/Z$9*$D35,2)</f>
        <v>0</v>
      </c>
      <c r="AD35" s="213">
        <f>SUMIFS(AD$10:AD$38,$A$10:$A$38,"&lt;"&amp;#REF!,$A$10:$A$38,"&gt;"&amp;$A$35)</f>
        <v>0</v>
      </c>
      <c r="AE35" s="214">
        <f>ROUND(AD35/AD$9,2)</f>
        <v>0</v>
      </c>
      <c r="AF35" s="214">
        <f>AE35-AG35</f>
        <v>0</v>
      </c>
      <c r="AG35" s="214">
        <f>ROUND(AD35/AD$9*$D35,2)</f>
        <v>0</v>
      </c>
      <c r="AH35" s="213">
        <f>SUMIFS(AH$10:AH$38,$A$10:$A$38,"&lt;"&amp;#REF!,$A$10:$A$38,"&gt;"&amp;$A$35)</f>
        <v>0</v>
      </c>
      <c r="AI35" s="214">
        <f>ROUND(AH35/AH$9,2)</f>
        <v>0</v>
      </c>
      <c r="AJ35" s="214">
        <f>AI35-AK35</f>
        <v>0</v>
      </c>
      <c r="AK35" s="214">
        <f>ROUND(AH35/AH$9*$D35,2)</f>
        <v>0</v>
      </c>
      <c r="AL35" s="213">
        <f>SUMIFS(AL$10:AL$38,$A$10:$A$38,"&lt;"&amp;#REF!,$A$10:$A$38,"&gt;"&amp;$A$35)</f>
        <v>0</v>
      </c>
      <c r="AM35" s="214">
        <f>ROUND(AL35/AL$9,2)</f>
        <v>0</v>
      </c>
      <c r="AN35" s="214">
        <f>AM35-AO35</f>
        <v>0</v>
      </c>
      <c r="AO35" s="214">
        <f>ROUND(AL35/AL$9*$D35,2)</f>
        <v>0</v>
      </c>
      <c r="AP35" s="213">
        <f>SUMIFS(AP$10:AP$38,$A$10:$A$38,"&lt;"&amp;#REF!,$A$10:$A$38,"&gt;"&amp;$A$35)</f>
        <v>0</v>
      </c>
      <c r="AQ35" s="214">
        <f>ROUND(AP35/AP$9,2)</f>
        <v>0</v>
      </c>
      <c r="AR35" s="214">
        <f>AQ35-AS35</f>
        <v>0</v>
      </c>
      <c r="AS35" s="214">
        <f>ROUND(AP35/AP$9*$D35,2)</f>
        <v>0</v>
      </c>
      <c r="AT35" s="213">
        <f>SUMIFS(AT$10:AT$38,$A$10:$A$38,"&lt;"&amp;#REF!,$A$10:$A$38,"&gt;"&amp;$A$35)</f>
        <v>0</v>
      </c>
      <c r="AU35" s="214">
        <f>ROUND(AT35/AT$9,2)</f>
        <v>0</v>
      </c>
      <c r="AV35" s="214">
        <f>AU35-AW35</f>
        <v>0</v>
      </c>
      <c r="AW35" s="214">
        <f>ROUND(AT35/AT$9*$D35,2)</f>
        <v>0</v>
      </c>
      <c r="AX35" s="213">
        <f>SUMIFS(AX$10:AX$38,$A$10:$A$38,"&lt;"&amp;#REF!,$A$10:$A$38,"&gt;"&amp;$A$35)</f>
        <v>0</v>
      </c>
      <c r="AY35" s="214">
        <f>ROUND(AX35/AX$9,2)</f>
        <v>0</v>
      </c>
      <c r="AZ35" s="214">
        <f>AY35-BA35</f>
        <v>0</v>
      </c>
      <c r="BA35" s="214">
        <f>ROUND(AX35/AX$9*$D35,2)</f>
        <v>0</v>
      </c>
      <c r="BB35" s="213">
        <f>SUMIFS(BB$10:BB$38,$A$10:$A$38,"&lt;"&amp;#REF!,$A$10:$A$38,"&gt;"&amp;$A$35)</f>
        <v>0</v>
      </c>
      <c r="BC35" s="214">
        <f>ROUND(BB35/BB$9,2)</f>
        <v>0</v>
      </c>
      <c r="BD35" s="214">
        <f>BC35-BE35</f>
        <v>0</v>
      </c>
      <c r="BE35" s="214">
        <f>ROUND(BB35/BB$9*$D35,2)</f>
        <v>0</v>
      </c>
      <c r="BF35" s="213">
        <f>SUMIFS(BF$10:BF$38,$A$10:$A$38,"&lt;"&amp;#REF!,$A$10:$A$38,"&gt;"&amp;$A$35)</f>
        <v>0</v>
      </c>
      <c r="BG35" s="214">
        <f>ROUND(BF35/BF$9,2)</f>
        <v>0</v>
      </c>
      <c r="BH35" s="214">
        <f>BG35-BI35</f>
        <v>0</v>
      </c>
      <c r="BI35" s="214">
        <f>ROUND(BF35/BF$9*$D35,2)</f>
        <v>0</v>
      </c>
      <c r="BJ35" s="138">
        <f>SUM(BJ36:BJ38)</f>
        <v>0</v>
      </c>
      <c r="BK35" s="59">
        <f t="shared" si="0"/>
        <v>0</v>
      </c>
      <c r="BL35" s="131">
        <f t="shared" si="1"/>
        <v>1216022.7929999998</v>
      </c>
      <c r="BM35" s="191">
        <f>G35+K35+O35+S35+W35+AA35+AE35+AI35+AM35+AQ35+AU35+AY35+BC35+BG35</f>
        <v>0</v>
      </c>
      <c r="BN35" s="58">
        <f>I35+M35+Q35+U35+Y35+AC35+AG35+AK35+AO35+AS35+AW35+BA35+BE35+BI35</f>
        <v>0</v>
      </c>
      <c r="BO35" s="59">
        <f>BN35/E35</f>
        <v>0</v>
      </c>
      <c r="BP35" s="139">
        <f>E35-BN35</f>
        <v>997624.1</v>
      </c>
      <c r="BQ35" s="238">
        <f>SUM(BQ36:BQ38)</f>
        <v>337733.18430000002</v>
      </c>
      <c r="BR35" s="238">
        <f t="shared" ref="BR35:BS35" si="16">SUM(BR36:BR38)</f>
        <v>483947.51799999998</v>
      </c>
      <c r="BS35" s="238">
        <f t="shared" si="16"/>
        <v>189761.98550000001</v>
      </c>
      <c r="BT35" s="238">
        <f>ROUND(337733.18/1.036081,0)</f>
        <v>325972</v>
      </c>
      <c r="BU35" s="238">
        <f>ROUND(483947.52/1.036081,0)</f>
        <v>467094</v>
      </c>
      <c r="BV35" s="238">
        <f>ROUND(189761.99/1.036081,0)</f>
        <v>183154</v>
      </c>
      <c r="BW35" s="22"/>
      <c r="BY35" s="22"/>
      <c r="CA35" s="24"/>
      <c r="CB35" s="22"/>
    </row>
    <row r="36" spans="1:80" s="23" customFormat="1" ht="13">
      <c r="A36" s="170">
        <v>5.0999999999999996</v>
      </c>
      <c r="B36" s="171" t="s">
        <v>202</v>
      </c>
      <c r="C36" s="172">
        <v>44103.97</v>
      </c>
      <c r="D36" s="153"/>
      <c r="E36" s="141"/>
      <c r="F36" s="215"/>
      <c r="G36" s="216"/>
      <c r="H36" s="216"/>
      <c r="I36" s="216"/>
      <c r="J36" s="215"/>
      <c r="K36" s="217"/>
      <c r="L36" s="217"/>
      <c r="M36" s="217"/>
      <c r="N36" s="215"/>
      <c r="O36" s="217"/>
      <c r="P36" s="217"/>
      <c r="Q36" s="217"/>
      <c r="R36" s="215"/>
      <c r="S36" s="217"/>
      <c r="T36" s="217"/>
      <c r="U36" s="217"/>
      <c r="V36" s="215"/>
      <c r="W36" s="217"/>
      <c r="X36" s="217"/>
      <c r="Y36" s="217"/>
      <c r="Z36" s="215"/>
      <c r="AA36" s="217"/>
      <c r="AB36" s="217"/>
      <c r="AC36" s="217"/>
      <c r="AD36" s="215"/>
      <c r="AE36" s="217"/>
      <c r="AF36" s="217"/>
      <c r="AG36" s="217"/>
      <c r="AH36" s="215"/>
      <c r="AI36" s="217"/>
      <c r="AJ36" s="217"/>
      <c r="AK36" s="217"/>
      <c r="AL36" s="215"/>
      <c r="AM36" s="217"/>
      <c r="AN36" s="217"/>
      <c r="AO36" s="217"/>
      <c r="AP36" s="215"/>
      <c r="AQ36" s="217"/>
      <c r="AR36" s="217"/>
      <c r="AS36" s="217"/>
      <c r="AT36" s="215"/>
      <c r="AU36" s="217"/>
      <c r="AV36" s="217"/>
      <c r="AW36" s="217"/>
      <c r="AX36" s="215"/>
      <c r="AY36" s="217"/>
      <c r="AZ36" s="217"/>
      <c r="BA36" s="217"/>
      <c r="BB36" s="215"/>
      <c r="BC36" s="217"/>
      <c r="BD36" s="217"/>
      <c r="BE36" s="217"/>
      <c r="BF36" s="215"/>
      <c r="BG36" s="217"/>
      <c r="BH36" s="217"/>
      <c r="BI36" s="217"/>
      <c r="BJ36" s="140">
        <f t="shared" si="2"/>
        <v>0</v>
      </c>
      <c r="BK36" s="61">
        <f t="shared" si="0"/>
        <v>0</v>
      </c>
      <c r="BL36" s="132">
        <f t="shared" si="1"/>
        <v>44103.97</v>
      </c>
      <c r="BM36" s="192"/>
      <c r="BN36" s="60"/>
      <c r="BO36" s="60"/>
      <c r="BP36" s="141"/>
      <c r="BQ36" s="233">
        <v>11025.99</v>
      </c>
      <c r="BR36" s="60">
        <v>11025.99</v>
      </c>
      <c r="BS36" s="141">
        <v>11025.99</v>
      </c>
      <c r="BT36" s="233"/>
      <c r="BU36" s="60"/>
      <c r="BV36" s="141"/>
      <c r="BW36" s="22"/>
      <c r="BY36" s="22"/>
      <c r="CA36" s="24"/>
      <c r="CB36" s="22"/>
    </row>
    <row r="37" spans="1:80" s="23" customFormat="1" ht="13">
      <c r="A37" s="170">
        <v>5.2</v>
      </c>
      <c r="B37" s="171" t="s">
        <v>196</v>
      </c>
      <c r="C37" s="172">
        <v>79552.892999999996</v>
      </c>
      <c r="D37" s="153"/>
      <c r="E37" s="141"/>
      <c r="F37" s="215"/>
      <c r="G37" s="216"/>
      <c r="H37" s="216"/>
      <c r="I37" s="216"/>
      <c r="J37" s="215"/>
      <c r="K37" s="217"/>
      <c r="L37" s="217"/>
      <c r="M37" s="217"/>
      <c r="N37" s="215"/>
      <c r="O37" s="217"/>
      <c r="P37" s="217"/>
      <c r="Q37" s="217"/>
      <c r="R37" s="215"/>
      <c r="S37" s="217"/>
      <c r="T37" s="217"/>
      <c r="U37" s="217"/>
      <c r="V37" s="215"/>
      <c r="W37" s="217"/>
      <c r="X37" s="217"/>
      <c r="Y37" s="217"/>
      <c r="Z37" s="215"/>
      <c r="AA37" s="217"/>
      <c r="AB37" s="217"/>
      <c r="AC37" s="217"/>
      <c r="AD37" s="215"/>
      <c r="AE37" s="217"/>
      <c r="AF37" s="217"/>
      <c r="AG37" s="217"/>
      <c r="AH37" s="215"/>
      <c r="AI37" s="217"/>
      <c r="AJ37" s="217"/>
      <c r="AK37" s="217"/>
      <c r="AL37" s="215"/>
      <c r="AM37" s="217"/>
      <c r="AN37" s="217"/>
      <c r="AO37" s="217"/>
      <c r="AP37" s="215"/>
      <c r="AQ37" s="217"/>
      <c r="AR37" s="217"/>
      <c r="AS37" s="217"/>
      <c r="AT37" s="215"/>
      <c r="AU37" s="217"/>
      <c r="AV37" s="217"/>
      <c r="AW37" s="217"/>
      <c r="AX37" s="215"/>
      <c r="AY37" s="217"/>
      <c r="AZ37" s="217"/>
      <c r="BA37" s="217"/>
      <c r="BB37" s="215"/>
      <c r="BC37" s="217"/>
      <c r="BD37" s="217"/>
      <c r="BE37" s="217"/>
      <c r="BF37" s="215"/>
      <c r="BG37" s="217"/>
      <c r="BH37" s="217"/>
      <c r="BI37" s="217"/>
      <c r="BJ37" s="140">
        <f t="shared" ref="BJ37" si="17">SUM(F37:BI37)</f>
        <v>0</v>
      </c>
      <c r="BK37" s="61">
        <f t="shared" ref="BK37" si="18">BJ37/C37</f>
        <v>0</v>
      </c>
      <c r="BL37" s="132">
        <f t="shared" ref="BL37" si="19">C37-BJ37</f>
        <v>79552.892999999996</v>
      </c>
      <c r="BM37" s="192"/>
      <c r="BN37" s="60"/>
      <c r="BO37" s="60"/>
      <c r="BP37" s="141"/>
      <c r="BQ37" s="233">
        <f>(BQ36+BQ38)*0.07</f>
        <v>22094.694300000003</v>
      </c>
      <c r="BR37" s="233">
        <f t="shared" ref="BR37:BS37" si="20">(BR36+BR38)*0.07</f>
        <v>31660.118000000002</v>
      </c>
      <c r="BS37" s="233">
        <f t="shared" si="20"/>
        <v>12414.335500000001</v>
      </c>
      <c r="BT37" s="233"/>
      <c r="BU37" s="233"/>
      <c r="BV37" s="233"/>
      <c r="BW37" s="22"/>
      <c r="BY37" s="22"/>
      <c r="CA37" s="24"/>
      <c r="CB37" s="22"/>
    </row>
    <row r="38" spans="1:80" s="23" customFormat="1" ht="39.5" thickBot="1">
      <c r="A38" s="170">
        <v>5.3</v>
      </c>
      <c r="B38" s="171" t="s">
        <v>203</v>
      </c>
      <c r="C38" s="172">
        <v>1092365.93</v>
      </c>
      <c r="D38" s="153"/>
      <c r="E38" s="141"/>
      <c r="F38" s="215"/>
      <c r="G38" s="216"/>
      <c r="H38" s="216"/>
      <c r="I38" s="216"/>
      <c r="J38" s="215"/>
      <c r="K38" s="217"/>
      <c r="L38" s="217"/>
      <c r="M38" s="217"/>
      <c r="N38" s="215"/>
      <c r="O38" s="217"/>
      <c r="P38" s="217"/>
      <c r="Q38" s="217"/>
      <c r="R38" s="215"/>
      <c r="S38" s="217"/>
      <c r="T38" s="217"/>
      <c r="U38" s="217"/>
      <c r="V38" s="215"/>
      <c r="W38" s="217"/>
      <c r="X38" s="217"/>
      <c r="Y38" s="217"/>
      <c r="Z38" s="215"/>
      <c r="AA38" s="217"/>
      <c r="AB38" s="217"/>
      <c r="AC38" s="217"/>
      <c r="AD38" s="215"/>
      <c r="AE38" s="217"/>
      <c r="AF38" s="217"/>
      <c r="AG38" s="217"/>
      <c r="AH38" s="215"/>
      <c r="AI38" s="217"/>
      <c r="AJ38" s="217"/>
      <c r="AK38" s="217"/>
      <c r="AL38" s="215"/>
      <c r="AM38" s="217"/>
      <c r="AN38" s="217"/>
      <c r="AO38" s="217"/>
      <c r="AP38" s="215"/>
      <c r="AQ38" s="217"/>
      <c r="AR38" s="217"/>
      <c r="AS38" s="217"/>
      <c r="AT38" s="215"/>
      <c r="AU38" s="217"/>
      <c r="AV38" s="217"/>
      <c r="AW38" s="217"/>
      <c r="AX38" s="215"/>
      <c r="AY38" s="217"/>
      <c r="AZ38" s="217"/>
      <c r="BA38" s="217"/>
      <c r="BB38" s="215"/>
      <c r="BC38" s="217"/>
      <c r="BD38" s="217"/>
      <c r="BE38" s="217"/>
      <c r="BF38" s="215"/>
      <c r="BG38" s="217"/>
      <c r="BH38" s="217"/>
      <c r="BI38" s="217"/>
      <c r="BJ38" s="140">
        <f t="shared" si="2"/>
        <v>0</v>
      </c>
      <c r="BK38" s="61">
        <f t="shared" si="0"/>
        <v>0</v>
      </c>
      <c r="BL38" s="132">
        <f t="shared" si="1"/>
        <v>1092365.93</v>
      </c>
      <c r="BM38" s="192"/>
      <c r="BN38" s="60"/>
      <c r="BO38" s="60"/>
      <c r="BP38" s="141"/>
      <c r="BQ38" s="233">
        <v>304612.5</v>
      </c>
      <c r="BR38" s="60">
        <v>441261.41</v>
      </c>
      <c r="BS38" s="141">
        <v>166321.66</v>
      </c>
      <c r="BT38" s="233"/>
      <c r="BU38" s="60"/>
      <c r="BV38" s="141"/>
      <c r="BW38" s="22"/>
      <c r="BY38" s="22"/>
      <c r="CA38" s="24"/>
      <c r="CB38" s="22"/>
    </row>
    <row r="39" spans="1:80" s="26" customFormat="1" ht="13.5" thickBot="1">
      <c r="A39" s="144"/>
      <c r="B39" s="145" t="s">
        <v>204</v>
      </c>
      <c r="C39" s="145">
        <f>C10+C16+C24+C29+C35</f>
        <v>22671890.112400003</v>
      </c>
      <c r="D39" s="154">
        <f>ROUND(E39*C9/C39,4)</f>
        <v>0.85</v>
      </c>
      <c r="E39" s="150">
        <f>E10+E16+E24+E29+E35</f>
        <v>18600000</v>
      </c>
      <c r="F39" s="218">
        <f>F10+F16+F24+F29+F35</f>
        <v>37535</v>
      </c>
      <c r="G39" s="219">
        <f>G10+G16+G24+G29+G35</f>
        <v>37535</v>
      </c>
      <c r="H39" s="219">
        <f>H10+H16+H24+H29+H35</f>
        <v>5630.25</v>
      </c>
      <c r="I39" s="219">
        <f>I10+I16+I24+I29+I35</f>
        <v>31904.75</v>
      </c>
      <c r="J39" s="218" t="e">
        <f>J10+J16+J24+J29+J35+#REF!+#REF!+#REF!+#REF!+#REF!</f>
        <v>#REF!</v>
      </c>
      <c r="K39" s="219" t="e">
        <f>K10+K16+K24+K29+K35+#REF!+#REF!+#REF!+#REF!+#REF!</f>
        <v>#REF!</v>
      </c>
      <c r="L39" s="219" t="e">
        <f>L10+L16+L24+L29+L35+#REF!+#REF!+#REF!+#REF!+#REF!</f>
        <v>#REF!</v>
      </c>
      <c r="M39" s="219" t="e">
        <f>M10+M16+M24+M29+M35+#REF!+#REF!+#REF!+#REF!+#REF!</f>
        <v>#REF!</v>
      </c>
      <c r="N39" s="218" t="e">
        <f>N10+N16+N24+N29+N35+#REF!+#REF!+#REF!+#REF!+#REF!</f>
        <v>#REF!</v>
      </c>
      <c r="O39" s="219" t="e">
        <f>O10+O16+O24+O29+O35+#REF!+#REF!+#REF!+#REF!+#REF!</f>
        <v>#REF!</v>
      </c>
      <c r="P39" s="219" t="e">
        <f>P10+P16+P24+P29+P35+#REF!+#REF!+#REF!+#REF!+#REF!</f>
        <v>#REF!</v>
      </c>
      <c r="Q39" s="219" t="e">
        <f>Q10+Q16+Q24+Q29+Q35+#REF!+#REF!+#REF!+#REF!+#REF!</f>
        <v>#REF!</v>
      </c>
      <c r="R39" s="218" t="e">
        <f>R10+R16+R24+R29+R35+#REF!+#REF!+#REF!+#REF!+#REF!</f>
        <v>#REF!</v>
      </c>
      <c r="S39" s="219" t="e">
        <f>S10+S16+S24+S29+S35+#REF!+#REF!+#REF!+#REF!+#REF!</f>
        <v>#REF!</v>
      </c>
      <c r="T39" s="219" t="e">
        <f>T10+T16+T24+T29+T35+#REF!+#REF!+#REF!+#REF!+#REF!</f>
        <v>#REF!</v>
      </c>
      <c r="U39" s="219" t="e">
        <f>U10+U16+U24+U29+U35+#REF!+#REF!+#REF!+#REF!+#REF!</f>
        <v>#REF!</v>
      </c>
      <c r="V39" s="218" t="e">
        <f>V10+V16+V24+V29+V35+#REF!+#REF!+#REF!+#REF!+#REF!</f>
        <v>#REF!</v>
      </c>
      <c r="W39" s="219" t="e">
        <f>W10+W16+W24+W29+W35+#REF!+#REF!+#REF!+#REF!+#REF!</f>
        <v>#REF!</v>
      </c>
      <c r="X39" s="219" t="e">
        <f>X10+X16+X24+X29+X35+#REF!+#REF!+#REF!+#REF!+#REF!</f>
        <v>#REF!</v>
      </c>
      <c r="Y39" s="219" t="e">
        <f>Y10+Y16+Y24+Y29+Y35+#REF!+#REF!+#REF!+#REF!+#REF!</f>
        <v>#REF!</v>
      </c>
      <c r="Z39" s="218" t="e">
        <f>Z10+Z16+Z24+Z29+Z35+#REF!+#REF!+#REF!+#REF!+#REF!</f>
        <v>#REF!</v>
      </c>
      <c r="AA39" s="219" t="e">
        <f>AA10+AA16+AA24+AA29+AA35+#REF!+#REF!+#REF!+#REF!+#REF!</f>
        <v>#REF!</v>
      </c>
      <c r="AB39" s="219" t="e">
        <f>AB10+AB16+AB24+AB29+AB35+#REF!+#REF!+#REF!+#REF!+#REF!</f>
        <v>#REF!</v>
      </c>
      <c r="AC39" s="219" t="e">
        <f>AC10+AC16+AC24+AC29+AC35+#REF!+#REF!+#REF!+#REF!+#REF!</f>
        <v>#REF!</v>
      </c>
      <c r="AD39" s="218" t="e">
        <f>AD10+AD16+AD24+AD29+AD35+#REF!+#REF!+#REF!+#REF!+#REF!</f>
        <v>#REF!</v>
      </c>
      <c r="AE39" s="219" t="e">
        <f>AE10+AE16+AE24+AE29+AE35+#REF!+#REF!+#REF!+#REF!+#REF!</f>
        <v>#REF!</v>
      </c>
      <c r="AF39" s="219" t="e">
        <f>AF10+AF16+AF24+AF29+AF35+#REF!+#REF!+#REF!+#REF!+#REF!</f>
        <v>#REF!</v>
      </c>
      <c r="AG39" s="219" t="e">
        <f>AG10+AG16+AG24+AG29+AG35+#REF!+#REF!+#REF!+#REF!+#REF!</f>
        <v>#REF!</v>
      </c>
      <c r="AH39" s="218" t="e">
        <f>AH10+AH16+AH24+AH29+AH35+#REF!+#REF!+#REF!+#REF!+#REF!</f>
        <v>#REF!</v>
      </c>
      <c r="AI39" s="219" t="e">
        <f>AI10+AI16+AI24+AI29+AI35+#REF!+#REF!+#REF!+#REF!+#REF!</f>
        <v>#REF!</v>
      </c>
      <c r="AJ39" s="219" t="e">
        <f>AJ10+AJ16+AJ24+AJ29+AJ35+#REF!+#REF!+#REF!+#REF!+#REF!</f>
        <v>#REF!</v>
      </c>
      <c r="AK39" s="219" t="e">
        <f>AK10+AK16+AK24+AK29+AK35+#REF!+#REF!+#REF!+#REF!+#REF!</f>
        <v>#REF!</v>
      </c>
      <c r="AL39" s="218" t="e">
        <f>AL10+AL16+AL24+AL29+AL35+#REF!+#REF!+#REF!+#REF!+#REF!</f>
        <v>#REF!</v>
      </c>
      <c r="AM39" s="219" t="e">
        <f>AM10+AM16+AM24+AM29+AM35+#REF!+#REF!+#REF!+#REF!+#REF!</f>
        <v>#REF!</v>
      </c>
      <c r="AN39" s="219" t="e">
        <f>AN10+AN16+AN24+AN29+AN35+#REF!+#REF!+#REF!+#REF!+#REF!</f>
        <v>#REF!</v>
      </c>
      <c r="AO39" s="219" t="e">
        <f>AO10+AO16+AO24+AO29+AO35+#REF!+#REF!+#REF!+#REF!+#REF!</f>
        <v>#REF!</v>
      </c>
      <c r="AP39" s="218" t="e">
        <f>AP10+AP16+AP24+AP29+AP35+#REF!+#REF!+#REF!+#REF!+#REF!</f>
        <v>#REF!</v>
      </c>
      <c r="AQ39" s="219" t="e">
        <f>AQ10+AQ16+AQ24+AQ29+AQ35+#REF!+#REF!+#REF!+#REF!+#REF!</f>
        <v>#REF!</v>
      </c>
      <c r="AR39" s="219" t="e">
        <f>AR10+AR16+AR24+AR29+AR35+#REF!+#REF!+#REF!+#REF!+#REF!</f>
        <v>#REF!</v>
      </c>
      <c r="AS39" s="219" t="e">
        <f>AS10+AS16+AS24+AS29+AS35+#REF!+#REF!+#REF!+#REF!+#REF!</f>
        <v>#REF!</v>
      </c>
      <c r="AT39" s="218" t="e">
        <f>AT10+AT16+AT24+AT29+AT35+#REF!+#REF!+#REF!+#REF!+#REF!</f>
        <v>#REF!</v>
      </c>
      <c r="AU39" s="219" t="e">
        <f>AU10+AU16+AU24+AU29+AU35+#REF!+#REF!+#REF!+#REF!+#REF!</f>
        <v>#REF!</v>
      </c>
      <c r="AV39" s="219" t="e">
        <f>AV10+AV16+AV24+AV29+AV35+#REF!+#REF!+#REF!+#REF!+#REF!</f>
        <v>#REF!</v>
      </c>
      <c r="AW39" s="219" t="e">
        <f>AW10+AW16+AW24+AW29+AW35+#REF!+#REF!+#REF!+#REF!+#REF!</f>
        <v>#REF!</v>
      </c>
      <c r="AX39" s="218" t="e">
        <f>AX10+AX16+AX24+AX29+AX35+#REF!+#REF!+#REF!+#REF!+#REF!</f>
        <v>#REF!</v>
      </c>
      <c r="AY39" s="219" t="e">
        <f>AY10+AY16+AY24+AY29+AY35+#REF!+#REF!+#REF!+#REF!+#REF!</f>
        <v>#REF!</v>
      </c>
      <c r="AZ39" s="219" t="e">
        <f>AZ10+AZ16+AZ24+AZ29+AZ35+#REF!+#REF!+#REF!+#REF!+#REF!</f>
        <v>#REF!</v>
      </c>
      <c r="BA39" s="219" t="e">
        <f>BA10+BA16+BA24+BA29+BA35+#REF!+#REF!+#REF!+#REF!+#REF!</f>
        <v>#REF!</v>
      </c>
      <c r="BB39" s="218" t="e">
        <f>BB10+BB16+BB24+BB29+BB35+#REF!+#REF!+#REF!+#REF!+#REF!</f>
        <v>#REF!</v>
      </c>
      <c r="BC39" s="219" t="e">
        <f>BC10+BC16+BC24+BC29+BC35+#REF!+#REF!+#REF!+#REF!+#REF!</f>
        <v>#REF!</v>
      </c>
      <c r="BD39" s="219" t="e">
        <f>BD10+BD16+BD24+BD29+BD35+#REF!+#REF!+#REF!+#REF!+#REF!</f>
        <v>#REF!</v>
      </c>
      <c r="BE39" s="219" t="e">
        <f>BE10+BE16+BE24+BE29+BE35+#REF!+#REF!+#REF!+#REF!+#REF!</f>
        <v>#REF!</v>
      </c>
      <c r="BF39" s="218" t="e">
        <f>BF10+BF16+BF24+BF29+BF35+#REF!+#REF!+#REF!+#REF!+#REF!</f>
        <v>#REF!</v>
      </c>
      <c r="BG39" s="219" t="e">
        <f>BG10+BG16+BG24+BG29+BG35+#REF!+#REF!+#REF!+#REF!+#REF!</f>
        <v>#REF!</v>
      </c>
      <c r="BH39" s="219" t="e">
        <f>BH10+BH16+BH24+BH29+BH35+#REF!+#REF!+#REF!+#REF!+#REF!</f>
        <v>#REF!</v>
      </c>
      <c r="BI39" s="219" t="e">
        <f>BI10+BI16+BI24+BI29+BI35+#REF!+#REF!+#REF!+#REF!+#REF!</f>
        <v>#REF!</v>
      </c>
      <c r="BJ39" s="144">
        <f>BJ10+BJ16+BJ24+BJ29+BJ35</f>
        <v>37535</v>
      </c>
      <c r="BK39" s="147">
        <f t="shared" ref="BK39" si="21">BJ39/C39</f>
        <v>1.655574361639609E-3</v>
      </c>
      <c r="BL39" s="146">
        <f t="shared" ref="BL39" si="22">C39-BJ39</f>
        <v>22634355.112400003</v>
      </c>
      <c r="BM39" s="193">
        <f>BM10+BM16+BM24+BM29+BM35</f>
        <v>37535</v>
      </c>
      <c r="BN39" s="145">
        <f>BN10+BN16+BN24+BN29+BN35</f>
        <v>31904.75</v>
      </c>
      <c r="BO39" s="148">
        <f>BN39/E39</f>
        <v>1.7153091397849461E-3</v>
      </c>
      <c r="BP39" s="149">
        <f>E39-BN39</f>
        <v>18568095.25</v>
      </c>
      <c r="BQ39" s="144">
        <f t="shared" ref="BQ39:BS39" si="23">BQ10+BQ16+BQ24+BQ29+BQ35</f>
        <v>998970.1483</v>
      </c>
      <c r="BR39" s="144">
        <f t="shared" si="23"/>
        <v>3430417.906</v>
      </c>
      <c r="BS39" s="144">
        <f t="shared" si="23"/>
        <v>5287297.2700000005</v>
      </c>
      <c r="BT39" s="144">
        <f t="shared" ref="BT39:BV39" si="24">BT10+BT16+BT24+BT29+BT35</f>
        <v>1059182</v>
      </c>
      <c r="BU39" s="144">
        <f t="shared" si="24"/>
        <v>5541306</v>
      </c>
      <c r="BV39" s="144">
        <f t="shared" si="24"/>
        <v>6468346</v>
      </c>
      <c r="BW39" s="25"/>
    </row>
    <row r="40" spans="1:80" s="26" customFormat="1" ht="20.5" customHeight="1">
      <c r="A40" s="185"/>
      <c r="B40" s="185"/>
      <c r="C40" s="185"/>
      <c r="D40" s="186"/>
      <c r="E40" s="185"/>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5"/>
      <c r="BK40" s="188"/>
      <c r="BL40" s="185"/>
      <c r="BM40" s="185"/>
      <c r="BN40" s="185"/>
      <c r="BO40" s="188"/>
      <c r="BP40" s="185"/>
      <c r="BQ40" s="185"/>
      <c r="BR40" s="185"/>
      <c r="BS40" s="241"/>
      <c r="BT40" s="185"/>
      <c r="BU40" s="185"/>
      <c r="BV40" s="241"/>
      <c r="BW40" s="25"/>
    </row>
    <row r="41" spans="1:80" ht="38.25" customHeight="1">
      <c r="A41" s="372" t="s">
        <v>205</v>
      </c>
      <c r="B41" s="373"/>
      <c r="C41" s="373"/>
      <c r="D41" s="373"/>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3"/>
      <c r="BA41" s="373"/>
      <c r="BB41" s="373"/>
      <c r="BC41" s="373"/>
      <c r="BD41" s="373"/>
      <c r="BE41" s="373"/>
      <c r="BF41" s="373"/>
      <c r="BG41" s="373"/>
      <c r="BH41" s="373"/>
      <c r="BI41" s="373"/>
      <c r="BJ41" s="373"/>
      <c r="BK41" s="373"/>
      <c r="BL41" s="373"/>
      <c r="BM41" s="373"/>
      <c r="BN41" s="373"/>
      <c r="BO41" s="373"/>
      <c r="BP41" s="373"/>
      <c r="BQ41" s="373"/>
      <c r="BR41" s="373"/>
      <c r="BS41" s="373"/>
      <c r="BT41" s="373"/>
      <c r="BU41" s="373"/>
      <c r="BV41" s="373"/>
    </row>
    <row r="42" spans="1:80" ht="38.25" customHeight="1">
      <c r="A42" s="370" t="s">
        <v>206</v>
      </c>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row>
    <row r="43" spans="1:80" ht="38.25" customHeight="1">
      <c r="A43" s="374" t="s">
        <v>207</v>
      </c>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row>
    <row r="44" spans="1:80" ht="27" customHeight="1">
      <c r="A44" s="370" t="s">
        <v>208</v>
      </c>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row>
    <row r="45" spans="1:80" ht="43.5" customHeight="1">
      <c r="A45" s="374" t="s">
        <v>209</v>
      </c>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row>
    <row r="46" spans="1:80" ht="32.25" customHeight="1">
      <c r="A46" s="370" t="s">
        <v>210</v>
      </c>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row>
    <row r="47" spans="1:80" ht="53.25" customHeight="1">
      <c r="A47" s="372" t="s">
        <v>211</v>
      </c>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c r="BF47" s="373"/>
      <c r="BG47" s="373"/>
      <c r="BH47" s="373"/>
      <c r="BI47" s="373"/>
      <c r="BJ47" s="373"/>
      <c r="BK47" s="373"/>
      <c r="BL47" s="373"/>
      <c r="BM47" s="373"/>
      <c r="BN47" s="373"/>
      <c r="BO47" s="373"/>
      <c r="BP47" s="373"/>
      <c r="BQ47" s="373"/>
      <c r="BR47" s="373"/>
      <c r="BS47" s="373"/>
      <c r="BT47" s="373"/>
      <c r="BU47" s="373"/>
      <c r="BV47" s="373"/>
    </row>
    <row r="48" spans="1:80" ht="38.25" customHeight="1">
      <c r="A48" s="370" t="s">
        <v>212</v>
      </c>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row>
    <row r="49" spans="1:74" ht="54" customHeight="1">
      <c r="A49" s="372" t="s">
        <v>213</v>
      </c>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373"/>
      <c r="BG49" s="373"/>
      <c r="BH49" s="373"/>
      <c r="BI49" s="373"/>
      <c r="BJ49" s="373"/>
      <c r="BK49" s="373"/>
      <c r="BL49" s="373"/>
      <c r="BM49" s="373"/>
      <c r="BN49" s="373"/>
      <c r="BO49" s="373"/>
      <c r="BP49" s="373"/>
      <c r="BQ49" s="373"/>
      <c r="BR49" s="373"/>
      <c r="BS49" s="373"/>
      <c r="BT49" s="373"/>
      <c r="BU49" s="373"/>
      <c r="BV49" s="373"/>
    </row>
    <row r="50" spans="1:74" ht="46.5" customHeight="1">
      <c r="A50" s="370" t="s">
        <v>351</v>
      </c>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5">
    <mergeCell ref="BT4:BV4"/>
    <mergeCell ref="A49:BV49"/>
    <mergeCell ref="BM7:BP7"/>
    <mergeCell ref="BJ7:BL7"/>
    <mergeCell ref="AL6:AM6"/>
    <mergeCell ref="AP6:AQ6"/>
    <mergeCell ref="AT6:AU6"/>
    <mergeCell ref="BT6:BV6"/>
    <mergeCell ref="BQ4:BS4"/>
    <mergeCell ref="BQ6:BS6"/>
    <mergeCell ref="A50:BV50"/>
    <mergeCell ref="A48:BV48"/>
    <mergeCell ref="A41:BV41"/>
    <mergeCell ref="A43:BV43"/>
    <mergeCell ref="A42:BV42"/>
    <mergeCell ref="A46:BV46"/>
    <mergeCell ref="A47:BV47"/>
    <mergeCell ref="A45:BV45"/>
    <mergeCell ref="A44:BV44"/>
    <mergeCell ref="A1:BV1"/>
    <mergeCell ref="A2:BV2"/>
    <mergeCell ref="A3:BV3"/>
    <mergeCell ref="A6:C6"/>
    <mergeCell ref="BJ6:BP6"/>
    <mergeCell ref="F6:G6"/>
    <mergeCell ref="J6:K6"/>
    <mergeCell ref="N6:O6"/>
    <mergeCell ref="R6:S6"/>
    <mergeCell ref="V6:W6"/>
    <mergeCell ref="Z6:AA6"/>
    <mergeCell ref="AD6:AE6"/>
    <mergeCell ref="AH6:AI6"/>
    <mergeCell ref="AX6:AY6"/>
    <mergeCell ref="BB6:BC6"/>
    <mergeCell ref="BF6:BG6"/>
  </mergeCells>
  <phoneticPr fontId="8"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40"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E39:E40</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43"/>
  <sheetViews>
    <sheetView topLeftCell="A36" zoomScaleNormal="100" zoomScalePageLayoutView="85" workbookViewId="0">
      <selection activeCell="B19" sqref="B19:J19"/>
    </sheetView>
  </sheetViews>
  <sheetFormatPr defaultColWidth="9.1796875" defaultRowHeight="12.5"/>
  <cols>
    <col min="1" max="1" width="5.26953125" style="15" customWidth="1"/>
    <col min="2" max="10" width="11.7265625" style="15" customWidth="1"/>
    <col min="11" max="16384" width="9.1796875" style="15"/>
  </cols>
  <sheetData>
    <row r="1" spans="1:10" ht="21" customHeight="1">
      <c r="A1" s="404" t="str">
        <f>'Reimbursement Request'!A1:I1</f>
        <v>Swiss-Estonian Cooperation Programme</v>
      </c>
      <c r="B1" s="404"/>
      <c r="C1" s="404"/>
      <c r="D1" s="404"/>
      <c r="E1" s="404"/>
      <c r="F1" s="404"/>
      <c r="G1" s="404"/>
      <c r="H1" s="404"/>
      <c r="I1" s="404"/>
      <c r="J1" s="405"/>
    </row>
    <row r="2" spans="1:10">
      <c r="A2" s="406" t="str">
        <f>CONCATENATE('Reimbursement Request'!A3:I3," / ",'Reimbursement Request'!A2:I2)</f>
        <v>Supporting Social Inclusion / Reimbursement Request No. 1</v>
      </c>
      <c r="B2" s="406"/>
      <c r="C2" s="406"/>
      <c r="D2" s="406"/>
      <c r="E2" s="406"/>
      <c r="F2" s="406"/>
      <c r="G2" s="406"/>
      <c r="H2" s="406"/>
      <c r="I2" s="406"/>
      <c r="J2" s="406"/>
    </row>
    <row r="3" spans="1:10" ht="20">
      <c r="A3" s="407" t="s">
        <v>214</v>
      </c>
      <c r="B3" s="407"/>
      <c r="C3" s="407"/>
      <c r="D3" s="407"/>
      <c r="E3" s="407"/>
      <c r="F3" s="407"/>
      <c r="G3" s="407"/>
      <c r="H3" s="407"/>
      <c r="I3" s="407"/>
      <c r="J3" s="325"/>
    </row>
    <row r="4" spans="1:10" ht="15.5">
      <c r="A4" s="44"/>
      <c r="B4" s="44"/>
      <c r="C4" s="44"/>
      <c r="D4" s="44"/>
      <c r="E4" s="44"/>
      <c r="F4" s="44"/>
      <c r="G4" s="44"/>
      <c r="H4" s="44"/>
      <c r="I4" s="44"/>
      <c r="J4" s="44"/>
    </row>
    <row r="5" spans="1:10">
      <c r="A5" s="45"/>
      <c r="B5" s="45"/>
      <c r="C5" s="45"/>
      <c r="D5" s="45"/>
      <c r="E5" s="45"/>
      <c r="F5" s="45"/>
      <c r="G5" s="45"/>
      <c r="H5" s="45"/>
      <c r="I5" s="45"/>
      <c r="J5" s="46"/>
    </row>
    <row r="6" spans="1:10" ht="17.25" customHeight="1">
      <c r="A6" s="413" t="str">
        <f>'Financial Progress'!B10</f>
        <v>Management Costs</v>
      </c>
      <c r="B6" s="414"/>
      <c r="C6" s="414"/>
      <c r="D6" s="414"/>
      <c r="E6" s="414"/>
      <c r="F6" s="414"/>
      <c r="G6" s="414"/>
      <c r="H6" s="414"/>
      <c r="I6" s="414"/>
      <c r="J6" s="415"/>
    </row>
    <row r="7" spans="1:10" ht="13">
      <c r="A7" s="49" t="s">
        <v>215</v>
      </c>
      <c r="B7" s="393" t="s">
        <v>216</v>
      </c>
      <c r="C7" s="394"/>
      <c r="D7" s="394"/>
      <c r="E7" s="394"/>
      <c r="F7" s="394"/>
      <c r="G7" s="394"/>
      <c r="H7" s="395"/>
      <c r="I7" s="395"/>
      <c r="J7" s="396"/>
    </row>
    <row r="8" spans="1:10" ht="61.9" customHeight="1">
      <c r="A8" s="16">
        <v>1.1000000000000001</v>
      </c>
      <c r="B8" s="408" t="s">
        <v>340</v>
      </c>
      <c r="C8" s="409"/>
      <c r="D8" s="409"/>
      <c r="E8" s="409"/>
      <c r="F8" s="409"/>
      <c r="G8" s="409"/>
      <c r="H8" s="409"/>
      <c r="I8" s="409"/>
      <c r="J8" s="410"/>
    </row>
    <row r="9" spans="1:10" ht="82.9" customHeight="1">
      <c r="A9" s="16">
        <v>1.2</v>
      </c>
      <c r="B9" s="397" t="s">
        <v>337</v>
      </c>
      <c r="C9" s="398"/>
      <c r="D9" s="398"/>
      <c r="E9" s="398"/>
      <c r="F9" s="398"/>
      <c r="G9" s="398"/>
      <c r="H9" s="398"/>
      <c r="I9" s="398"/>
      <c r="J9" s="399"/>
    </row>
    <row r="10" spans="1:10" ht="99" customHeight="1">
      <c r="A10" s="16">
        <v>1.3</v>
      </c>
      <c r="B10" s="411" t="s">
        <v>352</v>
      </c>
      <c r="C10" s="398"/>
      <c r="D10" s="398"/>
      <c r="E10" s="398"/>
      <c r="F10" s="398"/>
      <c r="G10" s="398"/>
      <c r="H10" s="398"/>
      <c r="I10" s="398"/>
      <c r="J10" s="399"/>
    </row>
    <row r="11" spans="1:10" ht="124.15" customHeight="1">
      <c r="A11" s="16">
        <v>1.4</v>
      </c>
      <c r="B11" s="412" t="s">
        <v>338</v>
      </c>
      <c r="C11" s="409"/>
      <c r="D11" s="409"/>
      <c r="E11" s="409"/>
      <c r="F11" s="409"/>
      <c r="G11" s="409"/>
      <c r="H11" s="409"/>
      <c r="I11" s="409"/>
      <c r="J11" s="410"/>
    </row>
    <row r="12" spans="1:10" ht="34.9" customHeight="1">
      <c r="A12" s="16">
        <v>1.5</v>
      </c>
      <c r="B12" s="412" t="s">
        <v>339</v>
      </c>
      <c r="C12" s="409"/>
      <c r="D12" s="409"/>
      <c r="E12" s="409"/>
      <c r="F12" s="409"/>
      <c r="G12" s="409"/>
      <c r="H12" s="409"/>
      <c r="I12" s="409"/>
      <c r="J12" s="410"/>
    </row>
    <row r="13" spans="1:10" ht="16.899999999999999" customHeight="1">
      <c r="A13" s="387" t="s">
        <v>217</v>
      </c>
      <c r="B13" s="388"/>
      <c r="C13" s="388"/>
      <c r="D13" s="388"/>
      <c r="E13" s="388"/>
      <c r="F13" s="388"/>
      <c r="G13" s="388"/>
      <c r="H13" s="388"/>
      <c r="I13" s="389"/>
      <c r="J13" s="246" t="s">
        <v>335</v>
      </c>
    </row>
    <row r="15" spans="1:10" ht="13">
      <c r="A15" s="390" t="str">
        <f>'Financial Progress'!B16</f>
        <v xml:space="preserve">Programme Component 1 “Cultural and linguistic integration” </v>
      </c>
      <c r="B15" s="391"/>
      <c r="C15" s="391"/>
      <c r="D15" s="391"/>
      <c r="E15" s="391"/>
      <c r="F15" s="391"/>
      <c r="G15" s="391"/>
      <c r="H15" s="391"/>
      <c r="I15" s="391"/>
      <c r="J15" s="392"/>
    </row>
    <row r="16" spans="1:10" ht="13">
      <c r="A16" s="49" t="s">
        <v>215</v>
      </c>
      <c r="B16" s="393" t="s">
        <v>216</v>
      </c>
      <c r="C16" s="394"/>
      <c r="D16" s="394"/>
      <c r="E16" s="394"/>
      <c r="F16" s="394"/>
      <c r="G16" s="394"/>
      <c r="H16" s="395"/>
      <c r="I16" s="395"/>
      <c r="J16" s="396"/>
    </row>
    <row r="17" spans="1:10" ht="78.75" customHeight="1">
      <c r="A17" s="16">
        <v>2.1</v>
      </c>
      <c r="B17" s="397" t="s">
        <v>318</v>
      </c>
      <c r="C17" s="398"/>
      <c r="D17" s="398"/>
      <c r="E17" s="398"/>
      <c r="F17" s="398"/>
      <c r="G17" s="398"/>
      <c r="H17" s="398"/>
      <c r="I17" s="398"/>
      <c r="J17" s="399"/>
    </row>
    <row r="18" spans="1:10" ht="120.75" customHeight="1">
      <c r="A18" s="16">
        <v>2.2999999999999998</v>
      </c>
      <c r="B18" s="397" t="s">
        <v>333</v>
      </c>
      <c r="C18" s="400"/>
      <c r="D18" s="400"/>
      <c r="E18" s="400"/>
      <c r="F18" s="400"/>
      <c r="G18" s="400"/>
      <c r="H18" s="400"/>
      <c r="I18" s="400"/>
      <c r="J18" s="401"/>
    </row>
    <row r="19" spans="1:10" ht="78" customHeight="1">
      <c r="A19" s="16">
        <v>2.4</v>
      </c>
      <c r="B19" s="397" t="s">
        <v>353</v>
      </c>
      <c r="C19" s="402"/>
      <c r="D19" s="402"/>
      <c r="E19" s="402"/>
      <c r="F19" s="402"/>
      <c r="G19" s="402"/>
      <c r="H19" s="402"/>
      <c r="I19" s="402"/>
      <c r="J19" s="403"/>
    </row>
    <row r="20" spans="1:10" ht="44.25" customHeight="1">
      <c r="A20" s="16">
        <v>2.5</v>
      </c>
      <c r="B20" s="397" t="s">
        <v>331</v>
      </c>
      <c r="C20" s="398"/>
      <c r="D20" s="398"/>
      <c r="E20" s="398"/>
      <c r="F20" s="398"/>
      <c r="G20" s="398"/>
      <c r="H20" s="398"/>
      <c r="I20" s="398"/>
      <c r="J20" s="399"/>
    </row>
    <row r="21" spans="1:10" ht="189" customHeight="1">
      <c r="A21" s="16">
        <v>2.6</v>
      </c>
      <c r="B21" s="397" t="s">
        <v>334</v>
      </c>
      <c r="C21" s="402"/>
      <c r="D21" s="402"/>
      <c r="E21" s="402"/>
      <c r="F21" s="402"/>
      <c r="G21" s="402"/>
      <c r="H21" s="402"/>
      <c r="I21" s="402"/>
      <c r="J21" s="403"/>
    </row>
    <row r="22" spans="1:10" ht="197.25" customHeight="1">
      <c r="A22" s="16">
        <v>2.7</v>
      </c>
      <c r="B22" s="397" t="s">
        <v>218</v>
      </c>
      <c r="C22" s="398"/>
      <c r="D22" s="398"/>
      <c r="E22" s="398"/>
      <c r="F22" s="398"/>
      <c r="G22" s="398"/>
      <c r="H22" s="398"/>
      <c r="I22" s="398"/>
      <c r="J22" s="399"/>
    </row>
    <row r="23" spans="1:10">
      <c r="A23" s="387" t="s">
        <v>217</v>
      </c>
      <c r="B23" s="388"/>
      <c r="C23" s="388"/>
      <c r="D23" s="388"/>
      <c r="E23" s="388"/>
      <c r="F23" s="388"/>
      <c r="G23" s="388"/>
      <c r="H23" s="388"/>
      <c r="I23" s="389"/>
      <c r="J23" s="246" t="s">
        <v>335</v>
      </c>
    </row>
    <row r="25" spans="1:10" ht="13">
      <c r="A25" s="390" t="str">
        <f>'Financial Progress'!B24</f>
        <v>Programme Component 2 "Strengthening the social-and child protection services"</v>
      </c>
      <c r="B25" s="391"/>
      <c r="C25" s="391"/>
      <c r="D25" s="391"/>
      <c r="E25" s="391"/>
      <c r="F25" s="391"/>
      <c r="G25" s="391"/>
      <c r="H25" s="391"/>
      <c r="I25" s="391"/>
      <c r="J25" s="392"/>
    </row>
    <row r="26" spans="1:10" ht="13">
      <c r="A26" s="49" t="s">
        <v>215</v>
      </c>
      <c r="B26" s="393" t="s">
        <v>216</v>
      </c>
      <c r="C26" s="394"/>
      <c r="D26" s="394"/>
      <c r="E26" s="394"/>
      <c r="F26" s="394"/>
      <c r="G26" s="394"/>
      <c r="H26" s="395"/>
      <c r="I26" s="395"/>
      <c r="J26" s="396"/>
    </row>
    <row r="27" spans="1:10" ht="213" customHeight="1">
      <c r="A27" s="16">
        <v>3.1</v>
      </c>
      <c r="B27" s="411" t="s">
        <v>336</v>
      </c>
      <c r="C27" s="398"/>
      <c r="D27" s="398"/>
      <c r="E27" s="398"/>
      <c r="F27" s="398"/>
      <c r="G27" s="398"/>
      <c r="H27" s="398"/>
      <c r="I27" s="398"/>
      <c r="J27" s="399"/>
    </row>
    <row r="28" spans="1:10" ht="79.5" customHeight="1">
      <c r="A28" s="16">
        <v>3.2</v>
      </c>
      <c r="B28" s="397" t="s">
        <v>219</v>
      </c>
      <c r="C28" s="398"/>
      <c r="D28" s="398"/>
      <c r="E28" s="398"/>
      <c r="F28" s="398"/>
      <c r="G28" s="398"/>
      <c r="H28" s="398"/>
      <c r="I28" s="398"/>
      <c r="J28" s="399"/>
    </row>
    <row r="29" spans="1:10" ht="51" customHeight="1">
      <c r="A29" s="16">
        <v>3.3</v>
      </c>
      <c r="B29" s="397" t="s">
        <v>220</v>
      </c>
      <c r="C29" s="402"/>
      <c r="D29" s="402"/>
      <c r="E29" s="402"/>
      <c r="F29" s="402"/>
      <c r="G29" s="402"/>
      <c r="H29" s="402"/>
      <c r="I29" s="402"/>
      <c r="J29" s="403"/>
    </row>
    <row r="30" spans="1:10">
      <c r="A30" s="387" t="s">
        <v>217</v>
      </c>
      <c r="B30" s="388"/>
      <c r="C30" s="388"/>
      <c r="D30" s="388"/>
      <c r="E30" s="388"/>
      <c r="F30" s="388"/>
      <c r="G30" s="388"/>
      <c r="H30" s="388"/>
      <c r="I30" s="389"/>
      <c r="J30" s="246" t="s">
        <v>335</v>
      </c>
    </row>
    <row r="32" spans="1:10" ht="13">
      <c r="A32" s="390" t="str">
        <f>'Financial Progress'!B29</f>
        <v>Programme Component 3 “Increasing multicultural competence in the education sector”</v>
      </c>
      <c r="B32" s="391"/>
      <c r="C32" s="391"/>
      <c r="D32" s="391"/>
      <c r="E32" s="391"/>
      <c r="F32" s="391"/>
      <c r="G32" s="391"/>
      <c r="H32" s="391"/>
      <c r="I32" s="391"/>
      <c r="J32" s="392"/>
    </row>
    <row r="33" spans="1:10" ht="13">
      <c r="A33" s="49" t="s">
        <v>215</v>
      </c>
      <c r="B33" s="393" t="s">
        <v>216</v>
      </c>
      <c r="C33" s="394"/>
      <c r="D33" s="394"/>
      <c r="E33" s="394"/>
      <c r="F33" s="394"/>
      <c r="G33" s="394"/>
      <c r="H33" s="395"/>
      <c r="I33" s="395"/>
      <c r="J33" s="396"/>
    </row>
    <row r="34" spans="1:10" ht="120.75" customHeight="1">
      <c r="A34" s="16">
        <v>4.0999999999999996</v>
      </c>
      <c r="B34" s="416" t="s">
        <v>341</v>
      </c>
      <c r="C34" s="417"/>
      <c r="D34" s="417"/>
      <c r="E34" s="417"/>
      <c r="F34" s="417"/>
      <c r="G34" s="417"/>
      <c r="H34" s="417"/>
      <c r="I34" s="417"/>
      <c r="J34" s="418"/>
    </row>
    <row r="35" spans="1:10" ht="96.75" customHeight="1">
      <c r="A35" s="16">
        <v>4.3</v>
      </c>
      <c r="B35" s="397" t="s">
        <v>221</v>
      </c>
      <c r="C35" s="398"/>
      <c r="D35" s="398"/>
      <c r="E35" s="398"/>
      <c r="F35" s="398"/>
      <c r="G35" s="398"/>
      <c r="H35" s="398"/>
      <c r="I35" s="398"/>
      <c r="J35" s="399"/>
    </row>
    <row r="36" spans="1:10" ht="167.25" customHeight="1">
      <c r="A36" s="16">
        <v>4.4000000000000004</v>
      </c>
      <c r="B36" s="397" t="s">
        <v>222</v>
      </c>
      <c r="C36" s="402"/>
      <c r="D36" s="402"/>
      <c r="E36" s="402"/>
      <c r="F36" s="402"/>
      <c r="G36" s="402"/>
      <c r="H36" s="402"/>
      <c r="I36" s="402"/>
      <c r="J36" s="403"/>
    </row>
    <row r="37" spans="1:10">
      <c r="A37" s="387" t="s">
        <v>217</v>
      </c>
      <c r="B37" s="388"/>
      <c r="C37" s="388"/>
      <c r="D37" s="388"/>
      <c r="E37" s="388"/>
      <c r="F37" s="388"/>
      <c r="G37" s="388"/>
      <c r="H37" s="388"/>
      <c r="I37" s="389"/>
      <c r="J37" s="247" t="s">
        <v>335</v>
      </c>
    </row>
    <row r="39" spans="1:10" ht="13">
      <c r="A39" s="390" t="str">
        <f>'Financial Progress'!B35</f>
        <v>Programme Component 4 “Strengthening civil society through social innovation.”</v>
      </c>
      <c r="B39" s="391"/>
      <c r="C39" s="391"/>
      <c r="D39" s="391"/>
      <c r="E39" s="391"/>
      <c r="F39" s="391"/>
      <c r="G39" s="391"/>
      <c r="H39" s="391"/>
      <c r="I39" s="391"/>
      <c r="J39" s="392"/>
    </row>
    <row r="40" spans="1:10" ht="13">
      <c r="A40" s="49" t="s">
        <v>215</v>
      </c>
      <c r="B40" s="393" t="s">
        <v>216</v>
      </c>
      <c r="C40" s="394"/>
      <c r="D40" s="394"/>
      <c r="E40" s="394"/>
      <c r="F40" s="394"/>
      <c r="G40" s="394"/>
      <c r="H40" s="395"/>
      <c r="I40" s="395"/>
      <c r="J40" s="396"/>
    </row>
    <row r="41" spans="1:10" ht="69" customHeight="1">
      <c r="A41" s="16">
        <v>5.0999999999999996</v>
      </c>
      <c r="B41" s="397" t="s">
        <v>320</v>
      </c>
      <c r="C41" s="398"/>
      <c r="D41" s="398"/>
      <c r="E41" s="398"/>
      <c r="F41" s="398"/>
      <c r="G41" s="398"/>
      <c r="H41" s="398"/>
      <c r="I41" s="398"/>
      <c r="J41" s="399"/>
    </row>
    <row r="42" spans="1:10" ht="92.25" customHeight="1">
      <c r="A42" s="16">
        <v>5.3</v>
      </c>
      <c r="B42" s="397" t="s">
        <v>348</v>
      </c>
      <c r="C42" s="419"/>
      <c r="D42" s="419"/>
      <c r="E42" s="419"/>
      <c r="F42" s="419"/>
      <c r="G42" s="419"/>
      <c r="H42" s="419"/>
      <c r="I42" s="419"/>
      <c r="J42" s="420"/>
    </row>
    <row r="43" spans="1:10">
      <c r="A43" s="387" t="s">
        <v>217</v>
      </c>
      <c r="B43" s="388"/>
      <c r="C43" s="388"/>
      <c r="D43" s="388"/>
      <c r="E43" s="388"/>
      <c r="F43" s="388"/>
      <c r="G43" s="388"/>
      <c r="H43" s="388"/>
      <c r="I43" s="389"/>
      <c r="J43" s="246" t="s">
        <v>335</v>
      </c>
    </row>
  </sheetData>
  <mergeCells count="37">
    <mergeCell ref="A43:I43"/>
    <mergeCell ref="B41:J41"/>
    <mergeCell ref="B42:J42"/>
    <mergeCell ref="A37:I37"/>
    <mergeCell ref="A39:J39"/>
    <mergeCell ref="B40:J40"/>
    <mergeCell ref="B33:J33"/>
    <mergeCell ref="B34:J34"/>
    <mergeCell ref="B35:J35"/>
    <mergeCell ref="B36:J36"/>
    <mergeCell ref="A30:I30"/>
    <mergeCell ref="A32:J32"/>
    <mergeCell ref="A25:J25"/>
    <mergeCell ref="B26:J26"/>
    <mergeCell ref="B27:J27"/>
    <mergeCell ref="B28:J28"/>
    <mergeCell ref="B29:J29"/>
    <mergeCell ref="A1:J1"/>
    <mergeCell ref="A2:J2"/>
    <mergeCell ref="A3:J3"/>
    <mergeCell ref="B7:J7"/>
    <mergeCell ref="A13:I13"/>
    <mergeCell ref="B8:J8"/>
    <mergeCell ref="B9:J9"/>
    <mergeCell ref="B10:J10"/>
    <mergeCell ref="B12:J12"/>
    <mergeCell ref="A6:J6"/>
    <mergeCell ref="B11:J11"/>
    <mergeCell ref="A23:I23"/>
    <mergeCell ref="A15:J15"/>
    <mergeCell ref="B16:J16"/>
    <mergeCell ref="B17:J17"/>
    <mergeCell ref="B18:J18"/>
    <mergeCell ref="B19:J19"/>
    <mergeCell ref="B22:J22"/>
    <mergeCell ref="B20:J20"/>
    <mergeCell ref="B21:J21"/>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33"/>
  <sheetViews>
    <sheetView zoomScale="90" zoomScaleNormal="90" zoomScalePageLayoutView="70" workbookViewId="0">
      <selection activeCell="B9" sqref="B9"/>
    </sheetView>
  </sheetViews>
  <sheetFormatPr defaultColWidth="10.7265625" defaultRowHeight="14"/>
  <cols>
    <col min="1" max="1" width="5.54296875" style="28" customWidth="1"/>
    <col min="2" max="2" width="31" style="28" customWidth="1"/>
    <col min="3" max="3" width="14.453125" style="28" customWidth="1"/>
    <col min="4" max="4" width="19.453125" style="28" customWidth="1"/>
    <col min="5" max="5" width="17.7265625" style="28" customWidth="1"/>
    <col min="6" max="6" width="18.54296875" style="28" customWidth="1"/>
    <col min="7" max="7" width="33.54296875" style="28" customWidth="1"/>
    <col min="8" max="8" width="19.26953125" style="28" customWidth="1"/>
    <col min="9" max="9" width="10" style="28" customWidth="1"/>
    <col min="10" max="10" width="10.7265625" style="28"/>
    <col min="11" max="11" width="18.81640625" style="28" customWidth="1"/>
    <col min="12" max="12" width="17.81640625" style="28" customWidth="1"/>
    <col min="13" max="13" width="17.1796875" style="28" customWidth="1"/>
    <col min="14" max="16384" width="10.7265625" style="28"/>
  </cols>
  <sheetData>
    <row r="1" spans="1:22">
      <c r="A1" s="404" t="str">
        <f>'Reimbursement Request'!A1:I1</f>
        <v>Swiss-Estonian Cooperation Programme</v>
      </c>
      <c r="B1" s="404"/>
      <c r="C1" s="404"/>
      <c r="D1" s="404"/>
      <c r="E1" s="404"/>
      <c r="F1" s="404"/>
      <c r="G1" s="404"/>
      <c r="H1" s="404"/>
      <c r="I1" s="404"/>
      <c r="J1" s="404"/>
    </row>
    <row r="2" spans="1:22">
      <c r="A2" s="421" t="str">
        <f>CONCATENATE('Reimbursement Request'!A3:I3," / ",'Reimbursement Request'!A2:I2)</f>
        <v>Supporting Social Inclusion / Reimbursement Request No. 1</v>
      </c>
      <c r="B2" s="421"/>
      <c r="C2" s="421"/>
      <c r="D2" s="421"/>
      <c r="E2" s="421"/>
      <c r="F2" s="421"/>
      <c r="G2" s="421"/>
      <c r="H2" s="421"/>
      <c r="I2" s="421"/>
      <c r="J2" s="421"/>
    </row>
    <row r="3" spans="1:22" ht="20">
      <c r="A3" s="407" t="s">
        <v>223</v>
      </c>
      <c r="B3" s="407"/>
      <c r="C3" s="407"/>
      <c r="D3" s="407"/>
      <c r="E3" s="407"/>
      <c r="F3" s="407"/>
      <c r="G3" s="407"/>
      <c r="H3" s="407"/>
      <c r="I3" s="407"/>
      <c r="J3" s="407"/>
    </row>
    <row r="4" spans="1:22" ht="15.75" customHeight="1">
      <c r="A4" s="44"/>
      <c r="B4" s="44"/>
      <c r="C4" s="44"/>
      <c r="D4" s="44"/>
      <c r="E4" s="44"/>
      <c r="F4" s="44"/>
      <c r="G4" s="44"/>
      <c r="H4" s="44"/>
      <c r="I4" s="44"/>
      <c r="J4" s="44"/>
    </row>
    <row r="5" spans="1:22">
      <c r="A5" s="32"/>
      <c r="B5" s="32"/>
      <c r="C5" s="32"/>
      <c r="D5" s="32"/>
      <c r="E5" s="32"/>
      <c r="F5" s="32"/>
      <c r="G5" s="32"/>
      <c r="H5" s="32"/>
      <c r="I5" s="32"/>
      <c r="J5" s="32"/>
    </row>
    <row r="6" spans="1:22">
      <c r="A6" s="424" t="s">
        <v>224</v>
      </c>
      <c r="B6" s="424"/>
      <c r="C6" s="424"/>
      <c r="D6" s="424"/>
      <c r="E6" s="424"/>
      <c r="F6" s="424"/>
      <c r="G6" s="424"/>
      <c r="H6" s="424"/>
      <c r="I6" s="424"/>
      <c r="J6" s="424"/>
      <c r="K6" s="101" t="s">
        <v>225</v>
      </c>
      <c r="L6" s="102"/>
      <c r="M6" s="102"/>
      <c r="N6" s="102"/>
      <c r="O6" s="102"/>
      <c r="P6" s="102"/>
      <c r="Q6" s="102"/>
      <c r="R6" s="103" t="s">
        <v>225</v>
      </c>
      <c r="S6" s="103"/>
      <c r="T6" s="103"/>
      <c r="U6" s="103"/>
      <c r="V6" s="103"/>
    </row>
    <row r="7" spans="1:22" s="29" customFormat="1" ht="30" customHeight="1">
      <c r="A7" s="50" t="s">
        <v>215</v>
      </c>
      <c r="B7" s="50" t="s">
        <v>226</v>
      </c>
      <c r="C7" s="110" t="s">
        <v>227</v>
      </c>
      <c r="D7" s="51" t="s">
        <v>228</v>
      </c>
      <c r="E7" s="51" t="s">
        <v>229</v>
      </c>
      <c r="F7" s="51" t="s">
        <v>230</v>
      </c>
      <c r="G7" s="51" t="s">
        <v>231</v>
      </c>
      <c r="H7" s="51" t="s">
        <v>232</v>
      </c>
      <c r="I7" s="422" t="s">
        <v>233</v>
      </c>
      <c r="J7" s="423"/>
      <c r="K7" s="104" t="s">
        <v>234</v>
      </c>
      <c r="L7" s="105" t="s">
        <v>235</v>
      </c>
      <c r="M7" s="105" t="s">
        <v>236</v>
      </c>
      <c r="N7" s="427" t="s">
        <v>237</v>
      </c>
      <c r="O7" s="427" t="s">
        <v>238</v>
      </c>
      <c r="P7" s="427" t="s">
        <v>239</v>
      </c>
      <c r="Q7" s="427" t="s">
        <v>240</v>
      </c>
      <c r="R7" s="425" t="s">
        <v>241</v>
      </c>
      <c r="S7" s="425" t="s">
        <v>242</v>
      </c>
      <c r="T7" s="425" t="s">
        <v>243</v>
      </c>
      <c r="U7" s="425" t="s">
        <v>244</v>
      </c>
      <c r="V7" s="425" t="s">
        <v>245</v>
      </c>
    </row>
    <row r="8" spans="1:22" s="29" customFormat="1" ht="25.5" customHeight="1">
      <c r="A8" s="52" t="s">
        <v>246</v>
      </c>
      <c r="B8" s="52" t="s">
        <v>247</v>
      </c>
      <c r="C8" s="53" t="s">
        <v>248</v>
      </c>
      <c r="D8" s="53" t="s">
        <v>249</v>
      </c>
      <c r="E8" s="53" t="s">
        <v>250</v>
      </c>
      <c r="F8" s="53"/>
      <c r="G8" s="53"/>
      <c r="H8" s="53"/>
      <c r="I8" s="54" t="s">
        <v>251</v>
      </c>
      <c r="J8" s="55" t="s">
        <v>252</v>
      </c>
      <c r="K8" s="106" t="s">
        <v>253</v>
      </c>
      <c r="L8" s="109" t="s">
        <v>253</v>
      </c>
      <c r="M8" s="109" t="s">
        <v>253</v>
      </c>
      <c r="N8" s="428"/>
      <c r="O8" s="428"/>
      <c r="P8" s="428"/>
      <c r="Q8" s="428"/>
      <c r="R8" s="426"/>
      <c r="S8" s="426"/>
      <c r="T8" s="426"/>
      <c r="U8" s="426"/>
      <c r="V8" s="426"/>
    </row>
    <row r="9" spans="1:22">
      <c r="A9" s="128">
        <v>2</v>
      </c>
      <c r="B9" s="128" t="str">
        <f>LOOKUP(A9,'Financial Progress'!$A$10:$A$38,'Financial Progress'!$B$10:$B$38)</f>
        <v xml:space="preserve">Programme Component 1 “Cultural and linguistic integration” </v>
      </c>
      <c r="C9" s="129">
        <f>LOOKUP(A9,'Financial Progress'!$A$10:$A$38,'Financial Progress'!$E$10:$E$38)</f>
        <v>5592127.2199999997</v>
      </c>
      <c r="D9" s="174" t="s">
        <v>254</v>
      </c>
      <c r="E9" s="174" t="s">
        <v>255</v>
      </c>
      <c r="F9" s="174" t="s">
        <v>256</v>
      </c>
      <c r="G9" s="174" t="s">
        <v>12</v>
      </c>
      <c r="H9" s="174" t="s">
        <v>257</v>
      </c>
      <c r="I9" s="175">
        <v>45444</v>
      </c>
      <c r="J9" s="175">
        <v>46996</v>
      </c>
      <c r="K9" s="107"/>
      <c r="L9" s="108"/>
      <c r="M9" s="108"/>
      <c r="N9" s="108"/>
      <c r="O9" s="108"/>
      <c r="P9" s="108"/>
      <c r="Q9" s="108"/>
      <c r="R9" s="108"/>
      <c r="S9" s="108"/>
      <c r="T9" s="108"/>
      <c r="U9" s="108"/>
      <c r="V9" s="108"/>
    </row>
    <row r="10" spans="1:22">
      <c r="A10" s="128">
        <v>3</v>
      </c>
      <c r="B10" s="128" t="str">
        <f>LOOKUP(A10,'Financial Progress'!$A$10:$A$38,'Financial Progress'!$B$10:$B$38)</f>
        <v>Programme Component 2 "Strengthening the social-and child protection services"</v>
      </c>
      <c r="C10" s="129">
        <f>LOOKUP(A10,'Financial Progress'!$A$10:$A$38,'Financial Progress'!$E$10:$E$38)</f>
        <v>5385678.5800000001</v>
      </c>
      <c r="D10" s="174" t="s">
        <v>254</v>
      </c>
      <c r="E10" s="174" t="s">
        <v>255</v>
      </c>
      <c r="F10" s="174" t="s">
        <v>256</v>
      </c>
      <c r="G10" s="174" t="s">
        <v>258</v>
      </c>
      <c r="H10" s="174" t="s">
        <v>257</v>
      </c>
      <c r="I10" s="175">
        <v>45444</v>
      </c>
      <c r="J10" s="175">
        <v>46996</v>
      </c>
      <c r="K10" s="107"/>
      <c r="L10" s="108"/>
      <c r="M10" s="108"/>
      <c r="N10" s="108"/>
      <c r="O10" s="108"/>
      <c r="P10" s="108"/>
      <c r="Q10" s="108"/>
      <c r="R10" s="108"/>
      <c r="S10" s="108"/>
      <c r="T10" s="108"/>
      <c r="U10" s="108"/>
      <c r="V10" s="108"/>
    </row>
    <row r="11" spans="1:22">
      <c r="A11" s="128">
        <v>4</v>
      </c>
      <c r="B11" s="128" t="str">
        <f>LOOKUP(A11,'Financial Progress'!$A$10:$A$38,'Financial Progress'!$B$10:$B$38)</f>
        <v>Programme Component 3 “Increasing multicultural competence in the education sector”</v>
      </c>
      <c r="C11" s="129">
        <f>LOOKUP(A11,'Financial Progress'!$A$10:$A$38,'Financial Progress'!$E$10:$E$38)</f>
        <v>5358753.18</v>
      </c>
      <c r="D11" s="174" t="s">
        <v>254</v>
      </c>
      <c r="E11" s="174" t="s">
        <v>255</v>
      </c>
      <c r="F11" s="174" t="s">
        <v>256</v>
      </c>
      <c r="G11" s="174" t="s">
        <v>259</v>
      </c>
      <c r="H11" s="174" t="s">
        <v>257</v>
      </c>
      <c r="I11" s="175">
        <v>45444</v>
      </c>
      <c r="J11" s="175">
        <v>46996</v>
      </c>
      <c r="K11" s="107"/>
      <c r="L11" s="108"/>
      <c r="M11" s="108"/>
      <c r="N11" s="108"/>
      <c r="O11" s="108"/>
      <c r="P11" s="108"/>
      <c r="Q11" s="108"/>
      <c r="R11" s="108"/>
      <c r="S11" s="108"/>
      <c r="T11" s="108"/>
      <c r="U11" s="108"/>
      <c r="V11" s="108"/>
    </row>
    <row r="12" spans="1:22">
      <c r="A12" s="128">
        <v>5</v>
      </c>
      <c r="B12" s="128" t="str">
        <f>LOOKUP(A12,'Financial Progress'!$A$10:$A$38,'Financial Progress'!$B$10:$B$38)</f>
        <v>Programme Component 4 “Strengthening civil society through social innovation.”</v>
      </c>
      <c r="C12" s="129">
        <f>LOOKUP(A12,'Financial Progress'!$A$10:$A$38,'Financial Progress'!$E$10:$E$38)</f>
        <v>997624.1</v>
      </c>
      <c r="D12" s="174" t="s">
        <v>254</v>
      </c>
      <c r="E12" s="174" t="s">
        <v>255</v>
      </c>
      <c r="F12" s="174" t="s">
        <v>256</v>
      </c>
      <c r="G12" s="174" t="s">
        <v>260</v>
      </c>
      <c r="H12" s="174" t="s">
        <v>257</v>
      </c>
      <c r="I12" s="175">
        <v>45444</v>
      </c>
      <c r="J12" s="175">
        <v>46996</v>
      </c>
      <c r="K12" s="107"/>
      <c r="L12" s="108"/>
      <c r="M12" s="108"/>
      <c r="N12" s="108"/>
      <c r="O12" s="108"/>
      <c r="P12" s="108"/>
      <c r="Q12" s="108"/>
      <c r="R12" s="108"/>
      <c r="S12" s="108"/>
      <c r="T12" s="108"/>
      <c r="U12" s="108"/>
      <c r="V12" s="108"/>
    </row>
    <row r="19" spans="4:8">
      <c r="D19" s="37"/>
      <c r="E19" s="37"/>
      <c r="F19" s="37"/>
      <c r="G19" s="37"/>
      <c r="H19" s="37"/>
    </row>
    <row r="20" spans="4:8">
      <c r="D20" s="41"/>
      <c r="E20" s="41"/>
      <c r="F20" s="37"/>
      <c r="G20" s="37"/>
      <c r="H20" s="37"/>
    </row>
    <row r="21" spans="4:8">
      <c r="D21" s="41"/>
      <c r="E21" s="41"/>
      <c r="F21" s="37"/>
      <c r="G21" s="37"/>
      <c r="H21" s="37"/>
    </row>
    <row r="22" spans="4:8">
      <c r="D22" s="41"/>
      <c r="E22" s="41"/>
      <c r="F22" s="37"/>
      <c r="G22" s="37"/>
      <c r="H22" s="37"/>
    </row>
    <row r="23" spans="4:8">
      <c r="D23" s="41"/>
      <c r="E23" s="41"/>
      <c r="F23" s="37"/>
      <c r="G23" s="37"/>
      <c r="H23" s="37"/>
    </row>
    <row r="24" spans="4:8">
      <c r="D24" s="41"/>
      <c r="E24" s="41"/>
      <c r="F24" s="37"/>
      <c r="G24" s="37"/>
      <c r="H24" s="37"/>
    </row>
    <row r="25" spans="4:8">
      <c r="D25" s="29"/>
      <c r="E25" s="41"/>
      <c r="F25" s="37"/>
      <c r="G25" s="37"/>
      <c r="H25" s="37"/>
    </row>
    <row r="26" spans="4:8">
      <c r="D26" s="29"/>
      <c r="E26" s="41"/>
    </row>
    <row r="27" spans="4:8">
      <c r="D27" s="29"/>
      <c r="E27" s="41"/>
    </row>
    <row r="28" spans="4:8">
      <c r="D28" s="29"/>
      <c r="E28" s="41"/>
    </row>
    <row r="29" spans="4:8">
      <c r="D29" s="29"/>
      <c r="E29" s="41"/>
    </row>
    <row r="30" spans="4:8">
      <c r="D30" s="29"/>
      <c r="E30" s="41"/>
    </row>
    <row r="31" spans="4:8">
      <c r="D31" s="29"/>
      <c r="E31" s="41"/>
    </row>
    <row r="32" spans="4:8">
      <c r="D32" s="29"/>
      <c r="E32" s="41"/>
    </row>
    <row r="33" spans="4:5">
      <c r="D33" s="29"/>
      <c r="E33" s="41"/>
    </row>
  </sheetData>
  <mergeCells count="14">
    <mergeCell ref="S7:S8"/>
    <mergeCell ref="T7:T8"/>
    <mergeCell ref="U7:U8"/>
    <mergeCell ref="V7:V8"/>
    <mergeCell ref="N7:N8"/>
    <mergeCell ref="O7:O8"/>
    <mergeCell ref="P7:P8"/>
    <mergeCell ref="Q7:Q8"/>
    <mergeCell ref="R7:R8"/>
    <mergeCell ref="A1:J1"/>
    <mergeCell ref="A2:J2"/>
    <mergeCell ref="A3:J3"/>
    <mergeCell ref="I7:J7"/>
    <mergeCell ref="A6:J6"/>
  </mergeCells>
  <dataValidations count="5">
    <dataValidation type="list" allowBlank="1" showInputMessage="1" showErrorMessage="1" sqref="F9:F12" xr:uid="{00000000-0002-0000-0400-000000000000}">
      <formula1>"Target focus regions,cross border,national coverage,other regions"</formula1>
    </dataValidation>
    <dataValidation type="list" allowBlank="1" showInputMessage="1" showErrorMessage="1" sqref="H9:H12"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2" xr:uid="{00000000-0002-0000-0400-000002000000}">
      <formula1>"Economic Growth,Migration / Public Safety,Environment and climate,Social Systems,Civic Engagement"</formula1>
    </dataValidation>
    <dataValidation type="list" allowBlank="1" showInputMessage="1" showErrorMessage="1" sqref="E9:E12"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2"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42"/>
  <sheetViews>
    <sheetView topLeftCell="A7" zoomScale="85" zoomScaleNormal="85" zoomScalePageLayoutView="70" workbookViewId="0">
      <selection activeCell="A6" sqref="A6:S6"/>
    </sheetView>
  </sheetViews>
  <sheetFormatPr defaultColWidth="10.7265625" defaultRowHeight="14"/>
  <cols>
    <col min="1" max="1" width="29.7265625" style="28" customWidth="1"/>
    <col min="2" max="2" width="34.7265625" style="28" customWidth="1"/>
    <col min="3" max="3" width="16.54296875" style="28" customWidth="1"/>
    <col min="4" max="4" width="10.7265625" style="28"/>
    <col min="5" max="5" width="12.81640625" style="28" customWidth="1"/>
    <col min="6" max="6" width="13.54296875" style="28" customWidth="1"/>
    <col min="7" max="11" width="10.7265625" style="28"/>
    <col min="12" max="12" width="10.7265625" style="28" bestFit="1" customWidth="1"/>
    <col min="13" max="15" width="10.7265625" style="28"/>
    <col min="16" max="16" width="19.54296875" style="28" customWidth="1"/>
    <col min="17" max="17" width="11.54296875" style="28" customWidth="1"/>
    <col min="18" max="18" width="10.7265625" style="28"/>
    <col min="19" max="19" width="40.26953125" style="28" customWidth="1"/>
    <col min="20" max="71" width="10.7265625" style="28"/>
    <col min="72" max="72" width="10.7265625" style="42"/>
    <col min="73" max="16384" width="10.7265625" style="28"/>
  </cols>
  <sheetData>
    <row r="1" spans="1:412">
      <c r="A1" s="404" t="str">
        <f>'Reimbursement Request'!A1:I1</f>
        <v>Swiss-Estonian Cooperation Programme</v>
      </c>
      <c r="B1" s="404"/>
      <c r="C1" s="404"/>
      <c r="D1" s="404"/>
      <c r="E1" s="404"/>
      <c r="F1" s="404"/>
      <c r="G1" s="404"/>
      <c r="H1" s="404"/>
      <c r="I1" s="404"/>
      <c r="J1" s="404"/>
      <c r="K1" s="405"/>
      <c r="L1" s="430"/>
      <c r="M1" s="430"/>
      <c r="N1" s="430"/>
      <c r="O1" s="430"/>
      <c r="P1" s="430"/>
      <c r="Q1" s="430"/>
      <c r="R1" s="430"/>
      <c r="S1" s="430"/>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c r="JP1" s="42"/>
      <c r="JQ1" s="42"/>
      <c r="JR1" s="42"/>
      <c r="JS1" s="42"/>
      <c r="JT1" s="42"/>
      <c r="JU1" s="42"/>
      <c r="JV1" s="42"/>
      <c r="JW1" s="42"/>
      <c r="JX1" s="42"/>
      <c r="JY1" s="42"/>
      <c r="JZ1" s="42"/>
      <c r="KA1" s="42"/>
      <c r="KB1" s="42"/>
      <c r="KC1" s="42"/>
      <c r="KD1" s="42"/>
      <c r="KE1" s="42"/>
      <c r="KF1" s="42"/>
      <c r="KG1" s="42"/>
      <c r="KH1" s="42"/>
      <c r="KI1" s="42"/>
      <c r="KJ1" s="42"/>
      <c r="KK1" s="42"/>
      <c r="KL1" s="42"/>
      <c r="KM1" s="42"/>
      <c r="KN1" s="42"/>
      <c r="KO1" s="42"/>
      <c r="KP1" s="42"/>
      <c r="KQ1" s="42"/>
      <c r="KR1" s="42"/>
      <c r="KS1" s="42"/>
      <c r="KT1" s="42"/>
      <c r="KU1" s="42"/>
      <c r="KV1" s="42"/>
      <c r="KW1" s="42"/>
      <c r="KX1" s="42"/>
      <c r="KY1" s="42"/>
      <c r="KZ1" s="42"/>
      <c r="LA1" s="42"/>
      <c r="LB1" s="42"/>
      <c r="LC1" s="42"/>
      <c r="LD1" s="42"/>
      <c r="LE1" s="42"/>
      <c r="LF1" s="42"/>
      <c r="LG1" s="42"/>
      <c r="LH1" s="42"/>
      <c r="LI1" s="42"/>
      <c r="LJ1" s="42"/>
      <c r="LK1" s="42"/>
      <c r="LL1" s="42"/>
      <c r="LM1" s="42"/>
      <c r="LN1" s="42"/>
      <c r="LO1" s="42"/>
      <c r="LP1" s="42"/>
      <c r="LQ1" s="42"/>
      <c r="LR1" s="42"/>
      <c r="LS1" s="42"/>
      <c r="LT1" s="42"/>
      <c r="LU1" s="42"/>
      <c r="LV1" s="42"/>
      <c r="LW1" s="42"/>
      <c r="LX1" s="42"/>
      <c r="LY1" s="42"/>
      <c r="LZ1" s="42"/>
      <c r="MA1" s="42"/>
      <c r="MB1" s="42"/>
      <c r="MC1" s="42"/>
      <c r="MD1" s="42"/>
      <c r="ME1" s="42"/>
      <c r="MF1" s="42"/>
      <c r="MG1" s="42"/>
      <c r="MH1" s="42"/>
      <c r="MI1" s="42"/>
      <c r="MJ1" s="42"/>
      <c r="MK1" s="42"/>
      <c r="ML1" s="42"/>
      <c r="MM1" s="42"/>
      <c r="MN1" s="42"/>
      <c r="MO1" s="42"/>
      <c r="MP1" s="42"/>
      <c r="MQ1" s="42"/>
      <c r="MR1" s="42"/>
      <c r="MS1" s="42"/>
      <c r="MT1" s="42"/>
      <c r="MU1" s="42"/>
      <c r="MV1" s="42"/>
      <c r="MW1" s="42"/>
      <c r="MX1" s="42"/>
      <c r="MY1" s="42"/>
      <c r="MZ1" s="42"/>
      <c r="NA1" s="42"/>
      <c r="NB1" s="42"/>
      <c r="NC1" s="42"/>
      <c r="ND1" s="42"/>
      <c r="NE1" s="42"/>
      <c r="NF1" s="42"/>
      <c r="NG1" s="42"/>
      <c r="NH1" s="42"/>
      <c r="NI1" s="42"/>
      <c r="NJ1" s="42"/>
      <c r="NK1" s="42"/>
      <c r="NL1" s="42"/>
      <c r="NM1" s="42"/>
      <c r="NN1" s="42"/>
      <c r="NO1" s="42"/>
      <c r="NP1" s="42"/>
      <c r="NQ1" s="42"/>
      <c r="NR1" s="42"/>
      <c r="NS1" s="42"/>
      <c r="NT1" s="42"/>
      <c r="NU1" s="42"/>
      <c r="NV1" s="42"/>
      <c r="NW1" s="42"/>
      <c r="NX1" s="42"/>
      <c r="NY1" s="42"/>
      <c r="NZ1" s="42"/>
      <c r="OA1" s="42"/>
      <c r="OB1" s="42"/>
      <c r="OC1" s="42"/>
      <c r="OD1" s="42"/>
      <c r="OE1" s="42"/>
      <c r="OF1" s="42"/>
      <c r="OG1" s="42"/>
      <c r="OH1" s="42"/>
      <c r="OI1" s="42"/>
      <c r="OJ1" s="42"/>
      <c r="OK1" s="42"/>
      <c r="OL1" s="42"/>
      <c r="OM1" s="42"/>
      <c r="ON1" s="42"/>
      <c r="OO1" s="42"/>
      <c r="OP1" s="42"/>
      <c r="OQ1" s="42"/>
      <c r="OR1" s="42"/>
      <c r="OS1" s="42"/>
      <c r="OT1" s="42"/>
      <c r="OU1" s="42"/>
      <c r="OV1" s="42"/>
    </row>
    <row r="2" spans="1:412">
      <c r="A2" s="421" t="str">
        <f>CONCATENATE('Reimbursement Request'!A3:I3," / ",'Reimbursement Request'!A2:I2)</f>
        <v>Supporting Social Inclusion / Reimbursement Request No. 1</v>
      </c>
      <c r="B2" s="421"/>
      <c r="C2" s="421"/>
      <c r="D2" s="421"/>
      <c r="E2" s="421"/>
      <c r="F2" s="421"/>
      <c r="G2" s="421"/>
      <c r="H2" s="421"/>
      <c r="I2" s="421"/>
      <c r="J2" s="421"/>
      <c r="K2" s="421"/>
      <c r="L2" s="430"/>
      <c r="M2" s="430"/>
      <c r="N2" s="430"/>
      <c r="O2" s="430"/>
      <c r="P2" s="430"/>
      <c r="Q2" s="430"/>
      <c r="R2" s="430"/>
      <c r="S2" s="430"/>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c r="IW2" s="42"/>
      <c r="IX2" s="42"/>
      <c r="IY2" s="42"/>
      <c r="IZ2" s="42"/>
      <c r="JA2" s="42"/>
      <c r="JB2" s="42"/>
      <c r="JC2" s="42"/>
      <c r="JD2" s="42"/>
      <c r="JE2" s="42"/>
      <c r="JF2" s="42"/>
      <c r="JG2" s="42"/>
      <c r="JH2" s="42"/>
      <c r="JI2" s="42"/>
      <c r="JJ2" s="42"/>
      <c r="JK2" s="42"/>
      <c r="JL2" s="42"/>
      <c r="JM2" s="42"/>
      <c r="JN2" s="42"/>
      <c r="JO2" s="42"/>
      <c r="JP2" s="42"/>
      <c r="JQ2" s="42"/>
      <c r="JR2" s="42"/>
      <c r="JS2" s="42"/>
      <c r="JT2" s="42"/>
      <c r="JU2" s="42"/>
      <c r="JV2" s="42"/>
      <c r="JW2" s="42"/>
      <c r="JX2" s="42"/>
      <c r="JY2" s="42"/>
      <c r="JZ2" s="42"/>
      <c r="KA2" s="42"/>
      <c r="KB2" s="42"/>
      <c r="KC2" s="42"/>
      <c r="KD2" s="42"/>
      <c r="KE2" s="42"/>
      <c r="KF2" s="42"/>
      <c r="KG2" s="42"/>
      <c r="KH2" s="42"/>
      <c r="KI2" s="42"/>
      <c r="KJ2" s="42"/>
      <c r="KK2" s="42"/>
      <c r="KL2" s="42"/>
      <c r="KM2" s="42"/>
      <c r="KN2" s="42"/>
      <c r="KO2" s="42"/>
      <c r="KP2" s="42"/>
      <c r="KQ2" s="42"/>
      <c r="KR2" s="42"/>
      <c r="KS2" s="42"/>
      <c r="KT2" s="42"/>
      <c r="KU2" s="42"/>
      <c r="KV2" s="42"/>
      <c r="KW2" s="42"/>
      <c r="KX2" s="42"/>
      <c r="KY2" s="42"/>
      <c r="KZ2" s="42"/>
      <c r="LA2" s="42"/>
      <c r="LB2" s="42"/>
      <c r="LC2" s="42"/>
      <c r="LD2" s="42"/>
      <c r="LE2" s="42"/>
      <c r="LF2" s="42"/>
      <c r="LG2" s="42"/>
      <c r="LH2" s="42"/>
      <c r="LI2" s="42"/>
      <c r="LJ2" s="42"/>
      <c r="LK2" s="42"/>
      <c r="LL2" s="42"/>
      <c r="LM2" s="42"/>
      <c r="LN2" s="42"/>
      <c r="LO2" s="42"/>
      <c r="LP2" s="42"/>
      <c r="LQ2" s="42"/>
      <c r="LR2" s="42"/>
      <c r="LS2" s="42"/>
      <c r="LT2" s="42"/>
      <c r="LU2" s="42"/>
      <c r="LV2" s="42"/>
      <c r="LW2" s="42"/>
      <c r="LX2" s="42"/>
      <c r="LY2" s="42"/>
      <c r="LZ2" s="42"/>
      <c r="MA2" s="42"/>
      <c r="MB2" s="42"/>
      <c r="MC2" s="42"/>
      <c r="MD2" s="42"/>
      <c r="ME2" s="42"/>
      <c r="MF2" s="42"/>
      <c r="MG2" s="42"/>
      <c r="MH2" s="42"/>
      <c r="MI2" s="42"/>
      <c r="MJ2" s="42"/>
      <c r="MK2" s="42"/>
      <c r="ML2" s="42"/>
      <c r="MM2" s="42"/>
      <c r="MN2" s="42"/>
      <c r="MO2" s="42"/>
      <c r="MP2" s="42"/>
      <c r="MQ2" s="42"/>
      <c r="MR2" s="42"/>
      <c r="MS2" s="42"/>
      <c r="MT2" s="42"/>
      <c r="MU2" s="42"/>
      <c r="MV2" s="42"/>
      <c r="MW2" s="42"/>
      <c r="MX2" s="42"/>
      <c r="MY2" s="42"/>
      <c r="MZ2" s="42"/>
      <c r="NA2" s="42"/>
      <c r="NB2" s="42"/>
      <c r="NC2" s="42"/>
      <c r="ND2" s="42"/>
      <c r="NE2" s="42"/>
      <c r="NF2" s="42"/>
      <c r="NG2" s="42"/>
      <c r="NH2" s="42"/>
      <c r="NI2" s="42"/>
      <c r="NJ2" s="42"/>
      <c r="NK2" s="42"/>
      <c r="NL2" s="42"/>
      <c r="NM2" s="42"/>
      <c r="NN2" s="42"/>
      <c r="NO2" s="42"/>
      <c r="NP2" s="42"/>
      <c r="NQ2" s="42"/>
      <c r="NR2" s="42"/>
      <c r="NS2" s="42"/>
      <c r="NT2" s="42"/>
      <c r="NU2" s="42"/>
      <c r="NV2" s="42"/>
      <c r="NW2" s="42"/>
      <c r="NX2" s="42"/>
      <c r="NY2" s="42"/>
      <c r="NZ2" s="42"/>
      <c r="OA2" s="42"/>
      <c r="OB2" s="42"/>
      <c r="OC2" s="42"/>
      <c r="OD2" s="42"/>
      <c r="OE2" s="42"/>
      <c r="OF2" s="42"/>
      <c r="OG2" s="42"/>
      <c r="OH2" s="42"/>
      <c r="OI2" s="42"/>
      <c r="OJ2" s="42"/>
      <c r="OK2" s="42"/>
      <c r="OL2" s="42"/>
      <c r="OM2" s="42"/>
      <c r="ON2" s="42"/>
      <c r="OO2" s="42"/>
      <c r="OP2" s="42"/>
      <c r="OQ2" s="42"/>
      <c r="OR2" s="42"/>
      <c r="OS2" s="42"/>
      <c r="OT2" s="42"/>
      <c r="OU2" s="42"/>
      <c r="OV2" s="42"/>
    </row>
    <row r="3" spans="1:412" ht="20">
      <c r="A3" s="407" t="s">
        <v>261</v>
      </c>
      <c r="B3" s="407"/>
      <c r="C3" s="407"/>
      <c r="D3" s="407"/>
      <c r="E3" s="407"/>
      <c r="F3" s="407"/>
      <c r="G3" s="407"/>
      <c r="H3" s="407"/>
      <c r="I3" s="407"/>
      <c r="J3" s="407"/>
      <c r="K3" s="325"/>
      <c r="L3" s="430"/>
      <c r="M3" s="430"/>
      <c r="N3" s="430"/>
      <c r="O3" s="430"/>
      <c r="P3" s="430"/>
      <c r="Q3" s="430"/>
      <c r="R3" s="430"/>
      <c r="S3" s="430"/>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c r="IW3" s="42"/>
      <c r="IX3" s="42"/>
      <c r="IY3" s="42"/>
      <c r="IZ3" s="42"/>
      <c r="JA3" s="42"/>
      <c r="JB3" s="42"/>
      <c r="JC3" s="42"/>
      <c r="JD3" s="42"/>
      <c r="JE3" s="42"/>
      <c r="JF3" s="42"/>
      <c r="JG3" s="42"/>
      <c r="JH3" s="42"/>
      <c r="JI3" s="42"/>
      <c r="JJ3" s="42"/>
      <c r="JK3" s="42"/>
      <c r="JL3" s="42"/>
      <c r="JM3" s="42"/>
      <c r="JN3" s="42"/>
      <c r="JO3" s="42"/>
      <c r="JP3" s="42"/>
      <c r="JQ3" s="42"/>
      <c r="JR3" s="42"/>
      <c r="JS3" s="42"/>
      <c r="JT3" s="42"/>
      <c r="JU3" s="42"/>
      <c r="JV3" s="42"/>
      <c r="JW3" s="42"/>
      <c r="JX3" s="42"/>
      <c r="JY3" s="42"/>
      <c r="JZ3" s="42"/>
      <c r="KA3" s="42"/>
      <c r="KB3" s="42"/>
      <c r="KC3" s="42"/>
      <c r="KD3" s="42"/>
      <c r="KE3" s="42"/>
      <c r="KF3" s="42"/>
      <c r="KG3" s="42"/>
      <c r="KH3" s="42"/>
      <c r="KI3" s="42"/>
      <c r="KJ3" s="42"/>
      <c r="KK3" s="42"/>
      <c r="KL3" s="42"/>
      <c r="KM3" s="42"/>
      <c r="KN3" s="42"/>
      <c r="KO3" s="42"/>
      <c r="KP3" s="42"/>
      <c r="KQ3" s="42"/>
      <c r="KR3" s="42"/>
      <c r="KS3" s="42"/>
      <c r="KT3" s="42"/>
      <c r="KU3" s="42"/>
      <c r="KV3" s="42"/>
      <c r="KW3" s="42"/>
      <c r="KX3" s="42"/>
      <c r="KY3" s="42"/>
      <c r="KZ3" s="42"/>
      <c r="LA3" s="42"/>
      <c r="LB3" s="42"/>
      <c r="LC3" s="42"/>
      <c r="LD3" s="42"/>
      <c r="LE3" s="42"/>
      <c r="LF3" s="42"/>
      <c r="LG3" s="42"/>
      <c r="LH3" s="42"/>
      <c r="LI3" s="42"/>
      <c r="LJ3" s="42"/>
      <c r="LK3" s="42"/>
      <c r="LL3" s="42"/>
      <c r="LM3" s="42"/>
      <c r="LN3" s="42"/>
      <c r="LO3" s="42"/>
      <c r="LP3" s="42"/>
      <c r="LQ3" s="42"/>
      <c r="LR3" s="42"/>
      <c r="LS3" s="42"/>
      <c r="LT3" s="42"/>
      <c r="LU3" s="42"/>
      <c r="LV3" s="42"/>
      <c r="LW3" s="42"/>
      <c r="LX3" s="42"/>
      <c r="LY3" s="42"/>
      <c r="LZ3" s="42"/>
      <c r="MA3" s="42"/>
      <c r="MB3" s="42"/>
      <c r="MC3" s="42"/>
      <c r="MD3" s="42"/>
      <c r="ME3" s="42"/>
      <c r="MF3" s="42"/>
      <c r="MG3" s="42"/>
      <c r="MH3" s="42"/>
      <c r="MI3" s="42"/>
      <c r="MJ3" s="42"/>
      <c r="MK3" s="42"/>
      <c r="ML3" s="42"/>
      <c r="MM3" s="42"/>
      <c r="MN3" s="42"/>
      <c r="MO3" s="42"/>
      <c r="MP3" s="42"/>
      <c r="MQ3" s="42"/>
      <c r="MR3" s="42"/>
      <c r="MS3" s="42"/>
      <c r="MT3" s="42"/>
      <c r="MU3" s="42"/>
      <c r="MV3" s="42"/>
      <c r="MW3" s="42"/>
      <c r="MX3" s="42"/>
      <c r="MY3" s="42"/>
      <c r="MZ3" s="42"/>
      <c r="NA3" s="42"/>
      <c r="NB3" s="42"/>
      <c r="NC3" s="42"/>
      <c r="ND3" s="42"/>
      <c r="NE3" s="42"/>
      <c r="NF3" s="42"/>
      <c r="NG3" s="42"/>
      <c r="NH3" s="42"/>
      <c r="NI3" s="42"/>
      <c r="NJ3" s="42"/>
      <c r="NK3" s="42"/>
      <c r="NL3" s="42"/>
      <c r="NM3" s="42"/>
      <c r="NN3" s="42"/>
      <c r="NO3" s="42"/>
      <c r="NP3" s="42"/>
      <c r="NQ3" s="42"/>
      <c r="NR3" s="42"/>
      <c r="NS3" s="42"/>
      <c r="NT3" s="42"/>
      <c r="NU3" s="42"/>
      <c r="NV3" s="42"/>
      <c r="NW3" s="42"/>
      <c r="NX3" s="42"/>
      <c r="NY3" s="42"/>
      <c r="NZ3" s="42"/>
      <c r="OA3" s="42"/>
      <c r="OB3" s="42"/>
      <c r="OC3" s="42"/>
      <c r="OD3" s="42"/>
      <c r="OE3" s="42"/>
      <c r="OF3" s="42"/>
      <c r="OG3" s="42"/>
      <c r="OH3" s="42"/>
      <c r="OI3" s="42"/>
      <c r="OJ3" s="42"/>
      <c r="OK3" s="42"/>
      <c r="OL3" s="42"/>
      <c r="OM3" s="42"/>
      <c r="ON3" s="42"/>
      <c r="OO3" s="42"/>
      <c r="OP3" s="42"/>
      <c r="OQ3" s="42"/>
      <c r="OR3" s="42"/>
      <c r="OS3" s="42"/>
      <c r="OT3" s="42"/>
      <c r="OU3" s="42"/>
      <c r="OV3" s="42"/>
    </row>
    <row r="4" spans="1:412" ht="15.75" customHeight="1">
      <c r="A4" s="44"/>
      <c r="B4" s="44"/>
      <c r="C4" s="44"/>
      <c r="D4" s="44"/>
      <c r="E4" s="44"/>
      <c r="F4" s="44"/>
      <c r="G4" s="44"/>
      <c r="H4" s="44"/>
      <c r="I4" s="44"/>
      <c r="J4" s="431"/>
      <c r="K4" s="430"/>
      <c r="L4" s="430"/>
      <c r="M4" s="48"/>
      <c r="N4" s="48"/>
      <c r="O4" s="48"/>
      <c r="P4" s="48"/>
      <c r="Q4" s="431"/>
      <c r="R4" s="430"/>
      <c r="S4" s="430"/>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c r="IW4" s="42"/>
      <c r="IX4" s="42"/>
      <c r="IY4" s="42"/>
      <c r="IZ4" s="42"/>
      <c r="JA4" s="42"/>
      <c r="JB4" s="42"/>
      <c r="JC4" s="42"/>
      <c r="JD4" s="42"/>
      <c r="JE4" s="42"/>
      <c r="JF4" s="42"/>
      <c r="JG4" s="42"/>
      <c r="JH4" s="42"/>
      <c r="JI4" s="42"/>
      <c r="JJ4" s="42"/>
      <c r="JK4" s="42"/>
      <c r="JL4" s="42"/>
      <c r="JM4" s="42"/>
      <c r="JN4" s="42"/>
      <c r="JO4" s="42"/>
      <c r="JP4" s="42"/>
      <c r="JQ4" s="42"/>
      <c r="JR4" s="42"/>
      <c r="JS4" s="42"/>
      <c r="JT4" s="42"/>
      <c r="JU4" s="42"/>
      <c r="JV4" s="42"/>
      <c r="JW4" s="42"/>
      <c r="JX4" s="42"/>
      <c r="JY4" s="42"/>
      <c r="JZ4" s="42"/>
      <c r="KA4" s="42"/>
      <c r="KB4" s="42"/>
      <c r="KC4" s="42"/>
      <c r="KD4" s="42"/>
      <c r="KE4" s="42"/>
      <c r="KF4" s="42"/>
      <c r="KG4" s="42"/>
      <c r="KH4" s="42"/>
      <c r="KI4" s="42"/>
      <c r="KJ4" s="42"/>
      <c r="KK4" s="42"/>
      <c r="KL4" s="42"/>
      <c r="KM4" s="42"/>
      <c r="KN4" s="42"/>
      <c r="KO4" s="42"/>
      <c r="KP4" s="42"/>
      <c r="KQ4" s="42"/>
      <c r="KR4" s="42"/>
      <c r="KS4" s="42"/>
      <c r="KT4" s="42"/>
      <c r="KU4" s="42"/>
      <c r="KV4" s="42"/>
      <c r="KW4" s="42"/>
      <c r="KX4" s="42"/>
      <c r="KY4" s="42"/>
      <c r="KZ4" s="42"/>
      <c r="LA4" s="42"/>
      <c r="LB4" s="42"/>
      <c r="LC4" s="42"/>
      <c r="LD4" s="42"/>
      <c r="LE4" s="42"/>
      <c r="LF4" s="42"/>
      <c r="LG4" s="42"/>
      <c r="LH4" s="42"/>
      <c r="LI4" s="42"/>
      <c r="LJ4" s="42"/>
      <c r="LK4" s="42"/>
      <c r="LL4" s="42"/>
      <c r="LM4" s="42"/>
      <c r="LN4" s="42"/>
      <c r="LO4" s="42"/>
      <c r="LP4" s="42"/>
      <c r="LQ4" s="42"/>
      <c r="LR4" s="42"/>
      <c r="LS4" s="42"/>
      <c r="LT4" s="42"/>
      <c r="LU4" s="42"/>
      <c r="LV4" s="42"/>
      <c r="LW4" s="42"/>
      <c r="LX4" s="42"/>
      <c r="LY4" s="42"/>
      <c r="LZ4" s="42"/>
      <c r="MA4" s="42"/>
      <c r="MB4" s="42"/>
      <c r="MC4" s="42"/>
      <c r="MD4" s="42"/>
      <c r="ME4" s="42"/>
      <c r="MF4" s="42"/>
      <c r="MG4" s="42"/>
      <c r="MH4" s="42"/>
      <c r="MI4" s="42"/>
      <c r="MJ4" s="42"/>
      <c r="MK4" s="42"/>
      <c r="ML4" s="42"/>
      <c r="MM4" s="42"/>
      <c r="MN4" s="42"/>
      <c r="MO4" s="42"/>
      <c r="MP4" s="42"/>
      <c r="MQ4" s="42"/>
      <c r="MR4" s="42"/>
      <c r="MS4" s="42"/>
      <c r="MT4" s="42"/>
      <c r="MU4" s="42"/>
      <c r="MV4" s="42"/>
      <c r="MW4" s="42"/>
      <c r="MX4" s="42"/>
      <c r="MY4" s="42"/>
      <c r="MZ4" s="42"/>
      <c r="NA4" s="42"/>
      <c r="NB4" s="42"/>
      <c r="NC4" s="42"/>
      <c r="ND4" s="42"/>
      <c r="NE4" s="42"/>
      <c r="NF4" s="42"/>
      <c r="NG4" s="42"/>
      <c r="NH4" s="42"/>
      <c r="NI4" s="42"/>
      <c r="NJ4" s="42"/>
      <c r="NK4" s="42"/>
      <c r="NL4" s="42"/>
      <c r="NM4" s="42"/>
      <c r="NN4" s="42"/>
      <c r="NO4" s="42"/>
      <c r="NP4" s="42"/>
      <c r="NQ4" s="42"/>
      <c r="NR4" s="42"/>
      <c r="NS4" s="42"/>
      <c r="NT4" s="42"/>
      <c r="NU4" s="42"/>
      <c r="NV4" s="42"/>
      <c r="NW4" s="42"/>
      <c r="NX4" s="42"/>
      <c r="NY4" s="42"/>
      <c r="NZ4" s="42"/>
      <c r="OA4" s="42"/>
      <c r="OB4" s="42"/>
      <c r="OC4" s="42"/>
      <c r="OD4" s="42"/>
      <c r="OE4" s="42"/>
      <c r="OF4" s="42"/>
      <c r="OG4" s="42"/>
      <c r="OH4" s="42"/>
      <c r="OI4" s="42"/>
      <c r="OJ4" s="42"/>
      <c r="OK4" s="42"/>
      <c r="OL4" s="42"/>
      <c r="OM4" s="42"/>
      <c r="ON4" s="42"/>
      <c r="OO4" s="42"/>
      <c r="OP4" s="42"/>
      <c r="OQ4" s="42"/>
      <c r="OR4" s="42"/>
      <c r="OS4" s="42"/>
      <c r="OT4" s="42"/>
      <c r="OU4" s="42"/>
      <c r="OV4" s="42"/>
    </row>
    <row r="5" spans="1:412" ht="15.75" customHeight="1">
      <c r="A5" s="44"/>
      <c r="B5" s="44"/>
      <c r="C5" s="44"/>
      <c r="D5" s="44"/>
      <c r="E5" s="44"/>
      <c r="F5" s="44"/>
      <c r="G5" s="44"/>
      <c r="H5" s="44"/>
      <c r="I5" s="44"/>
      <c r="J5" s="157"/>
      <c r="K5" s="156"/>
      <c r="L5" s="156"/>
      <c r="M5" s="48"/>
      <c r="N5" s="48"/>
      <c r="O5" s="48"/>
      <c r="P5" s="48"/>
      <c r="Q5" s="157"/>
      <c r="R5" s="156"/>
      <c r="S5" s="156"/>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c r="KH5" s="42"/>
      <c r="KI5" s="42"/>
      <c r="KJ5" s="42"/>
      <c r="KK5" s="42"/>
      <c r="KL5" s="42"/>
      <c r="KM5" s="42"/>
      <c r="KN5" s="42"/>
      <c r="KO5" s="42"/>
      <c r="KP5" s="42"/>
      <c r="KQ5" s="42"/>
      <c r="KR5" s="42"/>
      <c r="KS5" s="42"/>
      <c r="KT5" s="42"/>
      <c r="KU5" s="42"/>
      <c r="KV5" s="42"/>
      <c r="KW5" s="42"/>
      <c r="KX5" s="42"/>
      <c r="KY5" s="42"/>
      <c r="KZ5" s="42"/>
      <c r="LA5" s="42"/>
      <c r="LB5" s="42"/>
      <c r="LC5" s="42"/>
      <c r="LD5" s="42"/>
      <c r="LE5" s="42"/>
      <c r="LF5" s="42"/>
      <c r="LG5" s="42"/>
      <c r="LH5" s="42"/>
      <c r="LI5" s="42"/>
      <c r="LJ5" s="42"/>
      <c r="LK5" s="42"/>
      <c r="LL5" s="42"/>
      <c r="LM5" s="42"/>
      <c r="LN5" s="42"/>
      <c r="LO5" s="42"/>
      <c r="LP5" s="42"/>
      <c r="LQ5" s="42"/>
      <c r="LR5" s="42"/>
      <c r="LS5" s="42"/>
      <c r="LT5" s="42"/>
      <c r="LU5" s="42"/>
      <c r="LV5" s="42"/>
      <c r="LW5" s="42"/>
      <c r="LX5" s="42"/>
      <c r="LY5" s="42"/>
      <c r="LZ5" s="42"/>
      <c r="MA5" s="42"/>
      <c r="MB5" s="42"/>
      <c r="MC5" s="42"/>
      <c r="MD5" s="42"/>
      <c r="ME5" s="42"/>
      <c r="MF5" s="42"/>
      <c r="MG5" s="42"/>
      <c r="MH5" s="42"/>
      <c r="MI5" s="42"/>
      <c r="MJ5" s="42"/>
      <c r="MK5" s="42"/>
      <c r="ML5" s="42"/>
      <c r="MM5" s="42"/>
      <c r="MN5" s="42"/>
      <c r="MO5" s="42"/>
      <c r="MP5" s="42"/>
      <c r="MQ5" s="42"/>
      <c r="MR5" s="42"/>
      <c r="MS5" s="42"/>
      <c r="MT5" s="42"/>
      <c r="MU5" s="42"/>
      <c r="MV5" s="42"/>
      <c r="MW5" s="42"/>
      <c r="MX5" s="42"/>
      <c r="MY5" s="42"/>
      <c r="MZ5" s="42"/>
      <c r="NA5" s="42"/>
      <c r="NB5" s="42"/>
      <c r="NC5" s="42"/>
      <c r="ND5" s="42"/>
      <c r="NE5" s="42"/>
      <c r="NF5" s="42"/>
      <c r="NG5" s="42"/>
      <c r="NH5" s="42"/>
      <c r="NI5" s="42"/>
      <c r="NJ5" s="42"/>
      <c r="NK5" s="42"/>
      <c r="NL5" s="42"/>
      <c r="NM5" s="42"/>
      <c r="NN5" s="42"/>
      <c r="NO5" s="42"/>
      <c r="NP5" s="42"/>
      <c r="NQ5" s="42"/>
      <c r="NR5" s="42"/>
      <c r="NS5" s="42"/>
      <c r="NT5" s="42"/>
      <c r="NU5" s="42"/>
      <c r="NV5" s="42"/>
      <c r="NW5" s="42"/>
      <c r="NX5" s="42"/>
      <c r="NY5" s="42"/>
      <c r="NZ5" s="42"/>
      <c r="OA5" s="42"/>
      <c r="OB5" s="42"/>
      <c r="OC5" s="42"/>
      <c r="OD5" s="42"/>
      <c r="OE5" s="42"/>
      <c r="OF5" s="42"/>
      <c r="OG5" s="42"/>
      <c r="OH5" s="42"/>
      <c r="OI5" s="42"/>
      <c r="OJ5" s="42"/>
      <c r="OK5" s="42"/>
      <c r="OL5" s="42"/>
      <c r="OM5" s="42"/>
      <c r="ON5" s="42"/>
      <c r="OO5" s="42"/>
      <c r="OP5" s="42"/>
      <c r="OQ5" s="42"/>
      <c r="OR5" s="42"/>
      <c r="OS5" s="42"/>
      <c r="OT5" s="42"/>
      <c r="OU5" s="42"/>
      <c r="OV5" s="42"/>
    </row>
    <row r="6" spans="1:412">
      <c r="A6" s="424" t="s">
        <v>224</v>
      </c>
      <c r="B6" s="432"/>
      <c r="C6" s="432"/>
      <c r="D6" s="432"/>
      <c r="E6" s="432"/>
      <c r="F6" s="432"/>
      <c r="G6" s="432"/>
      <c r="H6" s="432"/>
      <c r="I6" s="432"/>
      <c r="J6" s="432"/>
      <c r="K6" s="432"/>
      <c r="L6" s="432"/>
      <c r="M6" s="432"/>
      <c r="N6" s="432"/>
      <c r="O6" s="432"/>
      <c r="P6" s="432"/>
      <c r="Q6" s="432"/>
      <c r="R6" s="432"/>
      <c r="S6" s="43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row>
    <row r="7" spans="1:412" s="29" customFormat="1" ht="115.5" customHeight="1">
      <c r="A7" s="180" t="s">
        <v>262</v>
      </c>
      <c r="B7" s="180" t="s">
        <v>263</v>
      </c>
      <c r="C7" s="181" t="s">
        <v>264</v>
      </c>
      <c r="D7" s="181" t="s">
        <v>265</v>
      </c>
      <c r="E7" s="181" t="s">
        <v>266</v>
      </c>
      <c r="F7" s="181" t="s">
        <v>267</v>
      </c>
      <c r="G7" s="181" t="s">
        <v>268</v>
      </c>
      <c r="H7" s="180" t="s">
        <v>269</v>
      </c>
      <c r="I7" s="180" t="s">
        <v>270</v>
      </c>
      <c r="J7" s="180" t="s">
        <v>271</v>
      </c>
      <c r="K7" s="180" t="s">
        <v>272</v>
      </c>
      <c r="L7" s="369" t="s">
        <v>273</v>
      </c>
      <c r="M7" s="369"/>
      <c r="N7" s="369" t="s">
        <v>274</v>
      </c>
      <c r="O7" s="369"/>
      <c r="P7" s="180" t="s">
        <v>275</v>
      </c>
      <c r="Q7" s="369" t="s">
        <v>276</v>
      </c>
      <c r="R7" s="369"/>
      <c r="S7" s="182" t="s">
        <v>277</v>
      </c>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c r="IW7" s="43"/>
      <c r="IX7" s="43"/>
      <c r="IY7" s="43"/>
      <c r="IZ7" s="43"/>
      <c r="JA7" s="43"/>
      <c r="JB7" s="43"/>
      <c r="JC7" s="43"/>
      <c r="JD7" s="43"/>
      <c r="JE7" s="43"/>
      <c r="JF7" s="43"/>
      <c r="JG7" s="43"/>
      <c r="JH7" s="43"/>
      <c r="JI7" s="43"/>
      <c r="JJ7" s="43"/>
      <c r="JK7" s="43"/>
      <c r="JL7" s="43"/>
      <c r="JM7" s="43"/>
      <c r="JN7" s="43"/>
      <c r="JO7" s="43"/>
      <c r="JP7" s="43"/>
      <c r="JQ7" s="43"/>
      <c r="JR7" s="43"/>
      <c r="JS7" s="43"/>
      <c r="JT7" s="43"/>
      <c r="JU7" s="43"/>
      <c r="JV7" s="43"/>
      <c r="JW7" s="43"/>
      <c r="JX7" s="43"/>
      <c r="JY7" s="43"/>
      <c r="JZ7" s="43"/>
      <c r="KA7" s="43"/>
      <c r="KB7" s="43"/>
      <c r="KC7" s="43"/>
      <c r="KD7" s="43"/>
      <c r="KE7" s="43"/>
      <c r="KF7" s="43"/>
      <c r="KG7" s="43"/>
      <c r="KH7" s="43"/>
      <c r="KI7" s="43"/>
      <c r="KJ7" s="43"/>
      <c r="KK7" s="43"/>
      <c r="KL7" s="43"/>
      <c r="KM7" s="43"/>
      <c r="KN7" s="43"/>
      <c r="KO7" s="43"/>
      <c r="KP7" s="43"/>
      <c r="KQ7" s="43"/>
      <c r="KR7" s="43"/>
      <c r="KS7" s="43"/>
      <c r="KT7" s="43"/>
      <c r="KU7" s="43"/>
      <c r="KV7" s="43"/>
      <c r="KW7" s="43"/>
      <c r="KX7" s="43"/>
      <c r="KY7" s="43"/>
      <c r="KZ7" s="43"/>
      <c r="LA7" s="43"/>
      <c r="LB7" s="43"/>
      <c r="LC7" s="43"/>
      <c r="LD7" s="43"/>
      <c r="LE7" s="43"/>
      <c r="LF7" s="43"/>
      <c r="LG7" s="43"/>
      <c r="LH7" s="43"/>
      <c r="LI7" s="43"/>
      <c r="LJ7" s="43"/>
      <c r="LK7" s="43"/>
      <c r="LL7" s="43"/>
      <c r="LM7" s="43"/>
      <c r="LN7" s="43"/>
      <c r="LO7" s="43"/>
      <c r="LP7" s="43"/>
      <c r="LQ7" s="43"/>
      <c r="LR7" s="43"/>
      <c r="LS7" s="43"/>
      <c r="LT7" s="43"/>
      <c r="LU7" s="43"/>
      <c r="LV7" s="43"/>
      <c r="LW7" s="43"/>
      <c r="LX7" s="43"/>
      <c r="LY7" s="43"/>
      <c r="LZ7" s="43"/>
      <c r="MA7" s="43"/>
      <c r="MB7" s="43"/>
      <c r="MC7" s="43"/>
      <c r="MD7" s="43"/>
      <c r="ME7" s="43"/>
      <c r="MF7" s="43"/>
      <c r="MG7" s="43"/>
      <c r="MH7" s="43"/>
      <c r="MI7" s="43"/>
      <c r="MJ7" s="43"/>
      <c r="MK7" s="43"/>
      <c r="ML7" s="43"/>
      <c r="MM7" s="43"/>
      <c r="MN7" s="43"/>
      <c r="MO7" s="43"/>
      <c r="MP7" s="43"/>
      <c r="MQ7" s="43"/>
      <c r="MR7" s="43"/>
      <c r="MS7" s="43"/>
      <c r="MT7" s="43"/>
      <c r="MU7" s="43"/>
      <c r="MV7" s="43"/>
      <c r="MW7" s="43"/>
      <c r="MX7" s="43"/>
      <c r="MY7" s="43"/>
      <c r="MZ7" s="43"/>
      <c r="NA7" s="43"/>
      <c r="NB7" s="43"/>
      <c r="NC7" s="43"/>
      <c r="ND7" s="43"/>
      <c r="NE7" s="43"/>
      <c r="NF7" s="43"/>
      <c r="NG7" s="43"/>
      <c r="NH7" s="43"/>
      <c r="NI7" s="43"/>
      <c r="NJ7" s="43"/>
      <c r="NK7" s="43"/>
      <c r="NL7" s="43"/>
      <c r="NM7" s="43"/>
      <c r="NN7" s="43"/>
      <c r="NO7" s="43"/>
      <c r="NP7" s="43"/>
      <c r="NQ7" s="43"/>
      <c r="NR7" s="43"/>
      <c r="NS7" s="43"/>
      <c r="NT7" s="43"/>
      <c r="NU7" s="43"/>
      <c r="NV7" s="43"/>
      <c r="NW7" s="43"/>
      <c r="NX7" s="43"/>
      <c r="NY7" s="43"/>
      <c r="NZ7" s="43"/>
      <c r="OA7" s="43"/>
      <c r="OB7" s="43"/>
      <c r="OC7" s="43"/>
      <c r="OD7" s="43"/>
      <c r="OE7" s="43"/>
      <c r="OF7" s="43"/>
      <c r="OG7" s="43"/>
      <c r="OH7" s="43"/>
      <c r="OI7" s="43"/>
      <c r="OJ7" s="43"/>
      <c r="OK7" s="43"/>
      <c r="OL7" s="43"/>
      <c r="OM7" s="43"/>
      <c r="ON7" s="43"/>
      <c r="OO7" s="43"/>
      <c r="OP7" s="43"/>
      <c r="OQ7" s="43"/>
      <c r="OR7" s="43"/>
      <c r="OS7" s="43"/>
      <c r="OT7" s="43"/>
      <c r="OU7" s="43"/>
      <c r="OV7" s="43"/>
    </row>
    <row r="8" spans="1:412" ht="121.5" customHeight="1">
      <c r="A8" s="33"/>
      <c r="B8" s="33"/>
      <c r="C8" s="33" t="s">
        <v>278</v>
      </c>
      <c r="D8" s="33" t="s">
        <v>278</v>
      </c>
      <c r="E8" s="33" t="s">
        <v>279</v>
      </c>
      <c r="F8" s="33" t="s">
        <v>279</v>
      </c>
      <c r="G8" s="33" t="s">
        <v>280</v>
      </c>
      <c r="H8" s="33" t="s">
        <v>278</v>
      </c>
      <c r="I8" s="33" t="s">
        <v>280</v>
      </c>
      <c r="J8" s="33" t="s">
        <v>278</v>
      </c>
      <c r="K8" s="33" t="s">
        <v>280</v>
      </c>
      <c r="L8" s="34" t="s">
        <v>16</v>
      </c>
      <c r="M8" s="33" t="s">
        <v>18</v>
      </c>
      <c r="N8" s="34" t="s">
        <v>16</v>
      </c>
      <c r="O8" s="33" t="s">
        <v>18</v>
      </c>
      <c r="P8" s="33" t="s">
        <v>281</v>
      </c>
      <c r="Q8" s="34" t="s">
        <v>16</v>
      </c>
      <c r="R8" s="33" t="s">
        <v>18</v>
      </c>
      <c r="S8" s="35" t="s">
        <v>282</v>
      </c>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row>
    <row r="9" spans="1:412" ht="28">
      <c r="A9" s="242" t="s">
        <v>178</v>
      </c>
      <c r="B9" s="242" t="s">
        <v>321</v>
      </c>
      <c r="C9" s="174" t="s">
        <v>324</v>
      </c>
      <c r="D9" s="174" t="s">
        <v>324</v>
      </c>
      <c r="E9" s="174" t="s">
        <v>325</v>
      </c>
      <c r="F9" s="174" t="s">
        <v>287</v>
      </c>
      <c r="G9" s="174"/>
      <c r="H9" s="174" t="s">
        <v>289</v>
      </c>
      <c r="I9" s="174"/>
      <c r="J9" s="174" t="s">
        <v>326</v>
      </c>
      <c r="K9" s="174"/>
      <c r="L9" s="248">
        <v>200000</v>
      </c>
      <c r="M9" s="248">
        <f>ROUND(L9*1.036081,0)</f>
        <v>207216</v>
      </c>
      <c r="N9" s="174"/>
      <c r="O9" s="174"/>
      <c r="P9" s="174"/>
      <c r="Q9" s="174"/>
      <c r="R9" s="174"/>
      <c r="S9" s="174"/>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row>
    <row r="10" spans="1:412" ht="28">
      <c r="A10" s="242" t="s">
        <v>178</v>
      </c>
      <c r="B10" s="242" t="s">
        <v>329</v>
      </c>
      <c r="C10" s="174" t="s">
        <v>290</v>
      </c>
      <c r="D10" s="174" t="s">
        <v>290</v>
      </c>
      <c r="E10" s="174" t="s">
        <v>325</v>
      </c>
      <c r="F10" s="174" t="s">
        <v>287</v>
      </c>
      <c r="G10" s="174"/>
      <c r="H10" s="174" t="s">
        <v>327</v>
      </c>
      <c r="I10" s="174"/>
      <c r="J10" s="174" t="s">
        <v>328</v>
      </c>
      <c r="K10" s="174"/>
      <c r="L10" s="248">
        <v>300000</v>
      </c>
      <c r="M10" s="248">
        <f t="shared" ref="M10:M15" si="0">ROUND(L10*1.036081,0)</f>
        <v>310824</v>
      </c>
      <c r="N10" s="174"/>
      <c r="O10" s="174"/>
      <c r="P10" s="174"/>
      <c r="Q10" s="174"/>
      <c r="R10" s="174"/>
      <c r="S10" s="174"/>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row>
    <row r="11" spans="1:412" ht="28">
      <c r="A11" s="242" t="s">
        <v>178</v>
      </c>
      <c r="B11" s="242" t="s">
        <v>330</v>
      </c>
      <c r="C11" s="174" t="s">
        <v>317</v>
      </c>
      <c r="D11" s="174" t="s">
        <v>317</v>
      </c>
      <c r="E11" s="174" t="s">
        <v>325</v>
      </c>
      <c r="F11" s="174" t="s">
        <v>287</v>
      </c>
      <c r="G11" s="174"/>
      <c r="H11" s="174" t="s">
        <v>326</v>
      </c>
      <c r="I11" s="174"/>
      <c r="J11" s="174" t="s">
        <v>291</v>
      </c>
      <c r="K11" s="174"/>
      <c r="L11" s="248">
        <v>300000</v>
      </c>
      <c r="M11" s="248">
        <f t="shared" si="0"/>
        <v>310824</v>
      </c>
      <c r="N11" s="174"/>
      <c r="O11" s="174"/>
      <c r="P11" s="174"/>
      <c r="Q11" s="174"/>
      <c r="R11" s="174"/>
      <c r="S11" s="174"/>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c r="MV11" s="42"/>
      <c r="MW11" s="42"/>
      <c r="MX11" s="42"/>
      <c r="MY11" s="42"/>
      <c r="MZ11" s="42"/>
      <c r="NA11" s="42"/>
      <c r="NB11" s="42"/>
      <c r="NC11" s="42"/>
      <c r="ND11" s="42"/>
      <c r="NE11" s="42"/>
      <c r="NF11" s="42"/>
      <c r="NG11" s="42"/>
      <c r="NH11" s="42"/>
      <c r="NI11" s="42"/>
      <c r="NJ11" s="42"/>
      <c r="NK11" s="42"/>
      <c r="NL11" s="42"/>
      <c r="NM11" s="42"/>
      <c r="NN11" s="42"/>
      <c r="NO11" s="42"/>
      <c r="NP11" s="42"/>
      <c r="NQ11" s="42"/>
      <c r="NR11" s="42"/>
      <c r="NS11" s="42"/>
      <c r="NT11" s="42"/>
      <c r="NU11" s="42"/>
      <c r="NV11" s="42"/>
      <c r="NW11" s="42"/>
      <c r="NX11" s="42"/>
      <c r="NY11" s="42"/>
      <c r="NZ11" s="42"/>
      <c r="OA11" s="42"/>
      <c r="OB11" s="42"/>
      <c r="OC11" s="42"/>
      <c r="OD11" s="42"/>
      <c r="OE11" s="42"/>
      <c r="OF11" s="42"/>
      <c r="OG11" s="42"/>
      <c r="OH11" s="42"/>
      <c r="OI11" s="42"/>
      <c r="OJ11" s="42"/>
      <c r="OK11" s="42"/>
      <c r="OL11" s="42"/>
      <c r="OM11" s="42"/>
      <c r="ON11" s="42"/>
      <c r="OO11" s="42"/>
      <c r="OP11" s="42"/>
      <c r="OQ11" s="42"/>
      <c r="OR11" s="42"/>
      <c r="OS11" s="42"/>
      <c r="OT11" s="42"/>
      <c r="OU11" s="42"/>
      <c r="OV11" s="42"/>
    </row>
    <row r="12" spans="1:412" ht="28">
      <c r="A12" s="242" t="s">
        <v>178</v>
      </c>
      <c r="B12" s="242" t="s">
        <v>283</v>
      </c>
      <c r="C12" s="174" t="s">
        <v>319</v>
      </c>
      <c r="D12" s="174" t="s">
        <v>323</v>
      </c>
      <c r="E12" s="174" t="s">
        <v>286</v>
      </c>
      <c r="F12" s="174" t="s">
        <v>287</v>
      </c>
      <c r="G12" s="174"/>
      <c r="H12" s="174" t="s">
        <v>323</v>
      </c>
      <c r="I12" s="174"/>
      <c r="J12" s="174" t="s">
        <v>327</v>
      </c>
      <c r="K12" s="174"/>
      <c r="L12" s="248">
        <v>220000</v>
      </c>
      <c r="M12" s="248">
        <f t="shared" si="0"/>
        <v>227938</v>
      </c>
      <c r="N12" s="174"/>
      <c r="O12" s="174"/>
      <c r="P12" s="174"/>
      <c r="Q12" s="174"/>
      <c r="R12" s="174"/>
      <c r="S12" s="174"/>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c r="LK12" s="42"/>
      <c r="LL12" s="42"/>
      <c r="LM12" s="42"/>
      <c r="LN12" s="42"/>
      <c r="LO12" s="42"/>
      <c r="LP12" s="42"/>
      <c r="LQ12" s="42"/>
      <c r="LR12" s="42"/>
      <c r="LS12" s="42"/>
      <c r="LT12" s="42"/>
      <c r="LU12" s="42"/>
      <c r="LV12" s="42"/>
      <c r="LW12" s="42"/>
      <c r="LX12" s="42"/>
      <c r="LY12" s="42"/>
      <c r="LZ12" s="42"/>
      <c r="MA12" s="42"/>
      <c r="MB12" s="42"/>
      <c r="MC12" s="42"/>
      <c r="MD12" s="42"/>
      <c r="ME12" s="42"/>
      <c r="MF12" s="42"/>
      <c r="MG12" s="42"/>
      <c r="MH12" s="42"/>
      <c r="MI12" s="42"/>
      <c r="MJ12" s="42"/>
      <c r="MK12" s="42"/>
      <c r="ML12" s="42"/>
      <c r="MM12" s="42"/>
      <c r="MN12" s="42"/>
      <c r="MO12" s="42"/>
      <c r="MP12" s="42"/>
      <c r="MQ12" s="42"/>
      <c r="MR12" s="42"/>
      <c r="MS12" s="42"/>
      <c r="MT12" s="42"/>
      <c r="MU12" s="42"/>
      <c r="MV12" s="42"/>
      <c r="MW12" s="42"/>
      <c r="MX12" s="42"/>
      <c r="MY12" s="42"/>
      <c r="MZ12" s="42"/>
      <c r="NA12" s="42"/>
      <c r="NB12" s="42"/>
      <c r="NC12" s="42"/>
      <c r="ND12" s="42"/>
      <c r="NE12" s="42"/>
      <c r="NF12" s="42"/>
      <c r="NG12" s="42"/>
      <c r="NH12" s="42"/>
      <c r="NI12" s="42"/>
      <c r="NJ12" s="42"/>
      <c r="NK12" s="42"/>
      <c r="NL12" s="42"/>
      <c r="NM12" s="42"/>
      <c r="NN12" s="42"/>
      <c r="NO12" s="42"/>
      <c r="NP12" s="42"/>
      <c r="NQ12" s="42"/>
      <c r="NR12" s="42"/>
      <c r="NS12" s="42"/>
      <c r="NT12" s="42"/>
      <c r="NU12" s="42"/>
      <c r="NV12" s="42"/>
      <c r="NW12" s="42"/>
      <c r="NX12" s="42"/>
      <c r="NY12" s="42"/>
      <c r="NZ12" s="42"/>
      <c r="OA12" s="42"/>
      <c r="OB12" s="42"/>
      <c r="OC12" s="42"/>
      <c r="OD12" s="42"/>
      <c r="OE12" s="42"/>
      <c r="OF12" s="42"/>
      <c r="OG12" s="42"/>
      <c r="OH12" s="42"/>
      <c r="OI12" s="42"/>
      <c r="OJ12" s="42"/>
      <c r="OK12" s="42"/>
      <c r="OL12" s="42"/>
      <c r="OM12" s="42"/>
      <c r="ON12" s="42"/>
      <c r="OO12" s="42"/>
      <c r="OP12" s="42"/>
      <c r="OQ12" s="42"/>
      <c r="OR12" s="42"/>
      <c r="OS12" s="42"/>
      <c r="OT12" s="42"/>
      <c r="OU12" s="42"/>
      <c r="OV12" s="42"/>
    </row>
    <row r="13" spans="1:412" ht="42">
      <c r="A13" s="242" t="s">
        <v>178</v>
      </c>
      <c r="B13" s="242" t="s">
        <v>322</v>
      </c>
      <c r="C13" s="174" t="s">
        <v>285</v>
      </c>
      <c r="D13" s="174" t="s">
        <v>285</v>
      </c>
      <c r="E13" s="174" t="s">
        <v>286</v>
      </c>
      <c r="F13" s="174" t="s">
        <v>287</v>
      </c>
      <c r="G13" s="174"/>
      <c r="H13" s="174" t="s">
        <v>319</v>
      </c>
      <c r="I13" s="174"/>
      <c r="J13" s="174" t="s">
        <v>317</v>
      </c>
      <c r="K13" s="174"/>
      <c r="L13" s="248">
        <v>650000</v>
      </c>
      <c r="M13" s="248">
        <f t="shared" si="0"/>
        <v>673453</v>
      </c>
      <c r="N13" s="174"/>
      <c r="O13" s="174"/>
      <c r="P13" s="174"/>
      <c r="Q13" s="174"/>
      <c r="R13" s="174"/>
      <c r="S13" s="174"/>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row>
    <row r="14" spans="1:412" ht="42">
      <c r="A14" s="242" t="s">
        <v>178</v>
      </c>
      <c r="B14" s="242" t="s">
        <v>284</v>
      </c>
      <c r="C14" s="174" t="s">
        <v>290</v>
      </c>
      <c r="D14" s="174" t="s">
        <v>290</v>
      </c>
      <c r="E14" s="174" t="s">
        <v>286</v>
      </c>
      <c r="F14" s="174" t="s">
        <v>287</v>
      </c>
      <c r="G14" s="174"/>
      <c r="H14" s="174" t="s">
        <v>317</v>
      </c>
      <c r="I14" s="174"/>
      <c r="J14" s="174" t="s">
        <v>291</v>
      </c>
      <c r="K14" s="174"/>
      <c r="L14" s="248">
        <v>575000</v>
      </c>
      <c r="M14" s="248">
        <f t="shared" si="0"/>
        <v>595747</v>
      </c>
      <c r="N14" s="174"/>
      <c r="O14" s="174"/>
      <c r="P14" s="174"/>
      <c r="Q14" s="174"/>
      <c r="R14" s="174"/>
      <c r="S14" s="174"/>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c r="IW14" s="42"/>
      <c r="IX14" s="42"/>
      <c r="IY14" s="42"/>
      <c r="IZ14" s="42"/>
      <c r="JA14" s="42"/>
      <c r="JB14" s="42"/>
      <c r="JC14" s="42"/>
      <c r="JD14" s="42"/>
      <c r="JE14" s="42"/>
      <c r="JF14" s="42"/>
      <c r="JG14" s="42"/>
      <c r="JH14" s="42"/>
      <c r="JI14" s="42"/>
      <c r="JJ14" s="42"/>
      <c r="JK14" s="42"/>
      <c r="JL14" s="42"/>
      <c r="JM14" s="42"/>
      <c r="JN14" s="42"/>
      <c r="JO14" s="42"/>
      <c r="JP14" s="42"/>
      <c r="JQ14" s="42"/>
      <c r="JR14" s="42"/>
      <c r="JS14" s="42"/>
      <c r="JT14" s="42"/>
      <c r="JU14" s="42"/>
      <c r="JV14" s="42"/>
      <c r="JW14" s="42"/>
      <c r="JX14" s="42"/>
      <c r="JY14" s="42"/>
      <c r="JZ14" s="42"/>
      <c r="KA14" s="42"/>
      <c r="KB14" s="42"/>
      <c r="KC14" s="42"/>
      <c r="KD14" s="42"/>
      <c r="KE14" s="42"/>
      <c r="KF14" s="42"/>
      <c r="KG14" s="42"/>
      <c r="KH14" s="42"/>
      <c r="KI14" s="42"/>
      <c r="KJ14" s="42"/>
      <c r="KK14" s="42"/>
      <c r="KL14" s="42"/>
      <c r="KM14" s="42"/>
      <c r="KN14" s="42"/>
      <c r="KO14" s="42"/>
      <c r="KP14" s="42"/>
      <c r="KQ14" s="42"/>
      <c r="KR14" s="42"/>
      <c r="KS14" s="42"/>
      <c r="KT14" s="42"/>
      <c r="KU14" s="42"/>
      <c r="KV14" s="42"/>
      <c r="KW14" s="42"/>
      <c r="KX14" s="42"/>
      <c r="KY14" s="42"/>
      <c r="KZ14" s="42"/>
      <c r="LA14" s="42"/>
      <c r="LB14" s="42"/>
      <c r="LC14" s="42"/>
      <c r="LD14" s="42"/>
      <c r="LE14" s="42"/>
      <c r="LF14" s="42"/>
      <c r="LG14" s="42"/>
      <c r="LH14" s="42"/>
      <c r="LI14" s="42"/>
      <c r="LJ14" s="42"/>
      <c r="LK14" s="42"/>
      <c r="LL14" s="42"/>
      <c r="LM14" s="42"/>
      <c r="LN14" s="42"/>
      <c r="LO14" s="42"/>
      <c r="LP14" s="42"/>
      <c r="LQ14" s="42"/>
      <c r="LR14" s="42"/>
      <c r="LS14" s="42"/>
      <c r="LT14" s="42"/>
      <c r="LU14" s="42"/>
      <c r="LV14" s="42"/>
      <c r="LW14" s="42"/>
      <c r="LX14" s="42"/>
      <c r="LY14" s="42"/>
      <c r="LZ14" s="42"/>
      <c r="MA14" s="42"/>
      <c r="MB14" s="42"/>
      <c r="MC14" s="42"/>
      <c r="MD14" s="42"/>
      <c r="ME14" s="42"/>
      <c r="MF14" s="42"/>
      <c r="MG14" s="42"/>
      <c r="MH14" s="42"/>
      <c r="MI14" s="42"/>
      <c r="MJ14" s="42"/>
      <c r="MK14" s="42"/>
      <c r="ML14" s="42"/>
      <c r="MM14" s="42"/>
      <c r="MN14" s="42"/>
      <c r="MO14" s="42"/>
      <c r="MP14" s="42"/>
      <c r="MQ14" s="42"/>
      <c r="MR14" s="42"/>
      <c r="MS14" s="42"/>
      <c r="MT14" s="42"/>
      <c r="MU14" s="42"/>
      <c r="MV14" s="42"/>
      <c r="MW14" s="42"/>
      <c r="MX14" s="42"/>
      <c r="MY14" s="42"/>
      <c r="MZ14" s="42"/>
      <c r="NA14" s="42"/>
      <c r="NB14" s="42"/>
      <c r="NC14" s="42"/>
      <c r="ND14" s="42"/>
      <c r="NE14" s="42"/>
      <c r="NF14" s="42"/>
      <c r="NG14" s="42"/>
      <c r="NH14" s="42"/>
      <c r="NI14" s="42"/>
      <c r="NJ14" s="42"/>
      <c r="NK14" s="42"/>
      <c r="NL14" s="42"/>
      <c r="NM14" s="42"/>
      <c r="NN14" s="42"/>
      <c r="NO14" s="42"/>
      <c r="NP14" s="42"/>
      <c r="NQ14" s="42"/>
      <c r="NR14" s="42"/>
      <c r="NS14" s="42"/>
      <c r="NT14" s="42"/>
      <c r="NU14" s="42"/>
      <c r="NV14" s="42"/>
      <c r="NW14" s="42"/>
      <c r="NX14" s="42"/>
      <c r="NY14" s="42"/>
      <c r="NZ14" s="42"/>
      <c r="OA14" s="42"/>
      <c r="OB14" s="42"/>
      <c r="OC14" s="42"/>
      <c r="OD14" s="42"/>
      <c r="OE14" s="42"/>
      <c r="OF14" s="42"/>
      <c r="OG14" s="42"/>
      <c r="OH14" s="42"/>
      <c r="OI14" s="42"/>
      <c r="OJ14" s="42"/>
      <c r="OK14" s="42"/>
      <c r="OL14" s="42"/>
      <c r="OM14" s="42"/>
      <c r="ON14" s="42"/>
      <c r="OO14" s="42"/>
      <c r="OP14" s="42"/>
      <c r="OQ14" s="42"/>
      <c r="OR14" s="42"/>
      <c r="OS14" s="42"/>
      <c r="OT14" s="42"/>
      <c r="OU14" s="42"/>
      <c r="OV14" s="42"/>
    </row>
    <row r="15" spans="1:412" s="30" customFormat="1" ht="42">
      <c r="A15" s="242" t="s">
        <v>190</v>
      </c>
      <c r="B15" s="245" t="s">
        <v>288</v>
      </c>
      <c r="C15" s="174" t="s">
        <v>289</v>
      </c>
      <c r="D15" s="174" t="s">
        <v>289</v>
      </c>
      <c r="E15" s="174" t="s">
        <v>286</v>
      </c>
      <c r="F15" s="174"/>
      <c r="G15" s="174"/>
      <c r="H15" s="174" t="s">
        <v>317</v>
      </c>
      <c r="I15" s="174"/>
      <c r="J15" s="174" t="s">
        <v>291</v>
      </c>
      <c r="K15" s="174"/>
      <c r="L15" s="248">
        <v>373000</v>
      </c>
      <c r="M15" s="248">
        <f t="shared" si="0"/>
        <v>386458</v>
      </c>
      <c r="N15" s="174"/>
      <c r="O15" s="174"/>
      <c r="P15" s="174"/>
      <c r="Q15" s="174"/>
      <c r="R15" s="174"/>
      <c r="S15" s="174"/>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row>
    <row r="16" spans="1:412" ht="42">
      <c r="A16" s="242" t="s">
        <v>194</v>
      </c>
      <c r="B16" s="174" t="s">
        <v>292</v>
      </c>
      <c r="C16" s="174"/>
      <c r="D16" s="174"/>
      <c r="E16" s="174"/>
      <c r="F16" s="174"/>
      <c r="G16" s="174"/>
      <c r="H16" s="174"/>
      <c r="I16" s="174"/>
      <c r="J16" s="174"/>
      <c r="K16" s="174"/>
      <c r="L16" s="174"/>
      <c r="M16" s="174"/>
      <c r="N16" s="174"/>
      <c r="O16" s="174"/>
      <c r="P16" s="174"/>
      <c r="Q16" s="174"/>
      <c r="R16" s="174"/>
      <c r="S16" s="174"/>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row>
    <row r="17" spans="1:412" s="30" customFormat="1" ht="42">
      <c r="A17" s="242" t="s">
        <v>293</v>
      </c>
      <c r="B17" s="174" t="s">
        <v>292</v>
      </c>
      <c r="C17" s="174"/>
      <c r="D17" s="174"/>
      <c r="E17" s="174"/>
      <c r="F17" s="174"/>
      <c r="G17" s="174"/>
      <c r="H17" s="174"/>
      <c r="I17" s="174"/>
      <c r="J17" s="174"/>
      <c r="K17" s="174"/>
      <c r="L17" s="174"/>
      <c r="M17" s="174"/>
      <c r="N17" s="174"/>
      <c r="O17" s="174"/>
      <c r="P17" s="174"/>
      <c r="Q17" s="174"/>
      <c r="R17" s="174"/>
      <c r="S17" s="174"/>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row>
    <row r="18" spans="1:412">
      <c r="A18" s="429"/>
      <c r="B18" s="429"/>
      <c r="C18" s="429"/>
      <c r="D18" s="429"/>
      <c r="E18" s="429"/>
      <c r="F18" s="429"/>
      <c r="G18" s="429"/>
      <c r="H18" s="429"/>
      <c r="I18" s="429"/>
      <c r="J18" s="429"/>
      <c r="K18" s="429"/>
      <c r="L18" s="429"/>
      <c r="M18" s="429"/>
      <c r="N18" s="429"/>
      <c r="O18" s="429"/>
      <c r="P18" s="429"/>
      <c r="Q18" s="429"/>
      <c r="R18" s="429"/>
      <c r="S18" s="429"/>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row>
    <row r="19" spans="1:412">
      <c r="A19" s="429"/>
      <c r="B19" s="429"/>
      <c r="C19" s="429"/>
      <c r="D19" s="429"/>
      <c r="E19" s="429"/>
      <c r="F19" s="429"/>
      <c r="G19" s="429"/>
      <c r="H19" s="429"/>
      <c r="I19" s="429"/>
      <c r="J19" s="429"/>
      <c r="K19" s="429"/>
      <c r="L19" s="429"/>
      <c r="M19" s="429"/>
      <c r="N19" s="429"/>
      <c r="O19" s="429"/>
      <c r="P19" s="429"/>
      <c r="Q19" s="429"/>
      <c r="R19" s="429"/>
      <c r="S19" s="429"/>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row>
    <row r="20" spans="1:412">
      <c r="B20" s="31"/>
    </row>
    <row r="42" spans="8:8">
      <c r="H42" s="28" t="s">
        <v>294</v>
      </c>
    </row>
  </sheetData>
  <mergeCells count="10">
    <mergeCell ref="A18:S19"/>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11"/>
  <sheetViews>
    <sheetView topLeftCell="A6" zoomScaleNormal="100" zoomScalePageLayoutView="140" workbookViewId="0">
      <selection activeCell="G10" sqref="G10:I10"/>
    </sheetView>
  </sheetViews>
  <sheetFormatPr defaultColWidth="9.1796875" defaultRowHeight="12.5"/>
  <cols>
    <col min="1" max="1" width="5.26953125" style="15" customWidth="1"/>
    <col min="2" max="16384" width="9.1796875" style="15"/>
  </cols>
  <sheetData>
    <row r="1" spans="1:10" ht="21" customHeight="1">
      <c r="A1" s="404" t="str">
        <f>'Reimbursement Request'!A1:I1</f>
        <v>Swiss-Estonian Cooperation Programme</v>
      </c>
      <c r="B1" s="404"/>
      <c r="C1" s="404"/>
      <c r="D1" s="404"/>
      <c r="E1" s="404"/>
      <c r="F1" s="404"/>
      <c r="G1" s="404"/>
      <c r="H1" s="404"/>
      <c r="I1" s="404"/>
      <c r="J1" s="404"/>
    </row>
    <row r="2" spans="1:10">
      <c r="A2" s="406" t="str">
        <f>CONCATENATE('Reimbursement Request'!A3:I3," / ",'Reimbursement Request'!A2:I2)</f>
        <v>Supporting Social Inclusion / Reimbursement Request No. 1</v>
      </c>
      <c r="B2" s="406"/>
      <c r="C2" s="406"/>
      <c r="D2" s="406"/>
      <c r="E2" s="406"/>
      <c r="F2" s="406"/>
      <c r="G2" s="406"/>
      <c r="H2" s="406"/>
      <c r="I2" s="406"/>
      <c r="J2" s="406"/>
    </row>
    <row r="3" spans="1:10" ht="38.25" customHeight="1">
      <c r="A3" s="434" t="s">
        <v>295</v>
      </c>
      <c r="B3" s="434"/>
      <c r="C3" s="434"/>
      <c r="D3" s="434"/>
      <c r="E3" s="434"/>
      <c r="F3" s="434"/>
      <c r="G3" s="434"/>
      <c r="H3" s="434"/>
      <c r="I3" s="434"/>
      <c r="J3" s="434"/>
    </row>
    <row r="4" spans="1:10" ht="15" customHeight="1">
      <c r="A4" s="44"/>
      <c r="B4" s="44"/>
      <c r="C4" s="44"/>
      <c r="D4" s="44"/>
      <c r="E4" s="44"/>
      <c r="F4" s="44"/>
      <c r="G4" s="44"/>
      <c r="H4" s="431"/>
      <c r="I4" s="439"/>
      <c r="J4" s="439"/>
    </row>
    <row r="5" spans="1:10">
      <c r="A5" s="45"/>
      <c r="B5" s="45"/>
      <c r="C5" s="45"/>
      <c r="D5" s="45"/>
      <c r="E5" s="45"/>
      <c r="F5" s="45"/>
      <c r="G5" s="45"/>
      <c r="H5" s="45"/>
      <c r="I5" s="45"/>
      <c r="J5" s="46"/>
    </row>
    <row r="6" spans="1:10" ht="39.75" customHeight="1">
      <c r="A6" s="435" t="s">
        <v>296</v>
      </c>
      <c r="B6" s="433"/>
      <c r="C6" s="433"/>
      <c r="D6" s="433"/>
      <c r="E6" s="433"/>
      <c r="F6" s="433"/>
      <c r="G6" s="440">
        <f>'Reimbursement Request'!B13</f>
        <v>18600000</v>
      </c>
      <c r="H6" s="437"/>
      <c r="I6" s="438"/>
      <c r="J6" s="36" t="s">
        <v>18</v>
      </c>
    </row>
    <row r="7" spans="1:10" ht="39.75" customHeight="1">
      <c r="A7" s="433" t="s">
        <v>297</v>
      </c>
      <c r="B7" s="433"/>
      <c r="C7" s="433"/>
      <c r="D7" s="433"/>
      <c r="E7" s="433"/>
      <c r="F7" s="433"/>
      <c r="G7" s="441">
        <v>0</v>
      </c>
      <c r="H7" s="442"/>
      <c r="I7" s="443"/>
      <c r="J7" s="36" t="s">
        <v>18</v>
      </c>
    </row>
    <row r="8" spans="1:10" ht="39.75" customHeight="1">
      <c r="A8" s="433" t="s">
        <v>298</v>
      </c>
      <c r="B8" s="433"/>
      <c r="C8" s="433"/>
      <c r="D8" s="433"/>
      <c r="E8" s="433"/>
      <c r="F8" s="433"/>
      <c r="G8" s="444">
        <v>0</v>
      </c>
      <c r="H8" s="442"/>
      <c r="I8" s="443"/>
      <c r="J8" s="36" t="s">
        <v>18</v>
      </c>
    </row>
    <row r="9" spans="1:10" ht="66" customHeight="1">
      <c r="A9" s="433" t="s">
        <v>299</v>
      </c>
      <c r="B9" s="433"/>
      <c r="C9" s="433"/>
      <c r="D9" s="433"/>
      <c r="E9" s="433"/>
      <c r="F9" s="433"/>
      <c r="G9" s="444">
        <v>0</v>
      </c>
      <c r="H9" s="442"/>
      <c r="I9" s="443"/>
      <c r="J9" s="36" t="s">
        <v>18</v>
      </c>
    </row>
    <row r="10" spans="1:10" ht="39.75" customHeight="1">
      <c r="A10" s="433" t="s">
        <v>300</v>
      </c>
      <c r="B10" s="433"/>
      <c r="C10" s="433"/>
      <c r="D10" s="433"/>
      <c r="E10" s="433"/>
      <c r="F10" s="433"/>
      <c r="G10" s="436">
        <f>'Financial Progress'!BN39</f>
        <v>31904.75</v>
      </c>
      <c r="H10" s="437"/>
      <c r="I10" s="438"/>
      <c r="J10" s="36" t="s">
        <v>18</v>
      </c>
    </row>
    <row r="11" spans="1:10" ht="39.75" customHeight="1">
      <c r="A11" s="433" t="s">
        <v>301</v>
      </c>
      <c r="B11" s="433"/>
      <c r="C11" s="433"/>
      <c r="D11" s="433"/>
      <c r="E11" s="433"/>
      <c r="F11" s="433"/>
      <c r="G11" s="436">
        <f>G10-G9-G8-G7</f>
        <v>31904.75</v>
      </c>
      <c r="H11" s="437"/>
      <c r="I11" s="438"/>
      <c r="J11" s="36" t="s">
        <v>18</v>
      </c>
    </row>
  </sheetData>
  <sheetProtection sheet="1" objects="1" scenarios="1"/>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D28"/>
  <sheetViews>
    <sheetView zoomScaleNormal="100" zoomScalePageLayoutView="85" workbookViewId="0">
      <selection activeCell="G22" sqref="G22"/>
    </sheetView>
  </sheetViews>
  <sheetFormatPr defaultColWidth="11.54296875" defaultRowHeight="12.5"/>
  <cols>
    <col min="1" max="1" width="56.453125" customWidth="1"/>
    <col min="2" max="2" width="5.1796875" customWidth="1"/>
    <col min="3" max="3" width="78.453125" customWidth="1"/>
    <col min="4" max="10" width="11.453125" customWidth="1"/>
  </cols>
  <sheetData>
    <row r="1" spans="1:4" ht="20.25" customHeight="1">
      <c r="A1" s="325" t="s">
        <v>302</v>
      </c>
      <c r="B1" s="325"/>
      <c r="C1" s="325"/>
    </row>
    <row r="2" spans="1:4" ht="14">
      <c r="A2" s="3"/>
      <c r="B2" s="4"/>
      <c r="C2" s="4"/>
    </row>
    <row r="3" spans="1:4" ht="15.5">
      <c r="A3" s="308" t="s">
        <v>303</v>
      </c>
      <c r="B3" s="336"/>
      <c r="C3" s="337"/>
    </row>
    <row r="4" spans="1:4" ht="14">
      <c r="A4" s="2"/>
      <c r="B4" s="2"/>
      <c r="C4" s="4"/>
    </row>
    <row r="5" spans="1:4" ht="17.5">
      <c r="A5" s="6" t="s">
        <v>304</v>
      </c>
      <c r="B5" s="5"/>
      <c r="C5" s="178"/>
      <c r="D5" s="252"/>
    </row>
    <row r="6" spans="1:4" ht="17.5">
      <c r="A6" s="5"/>
      <c r="B6" s="1"/>
      <c r="C6" s="7"/>
      <c r="D6" s="252"/>
    </row>
    <row r="7" spans="1:4" ht="17.5">
      <c r="A7" s="6" t="s">
        <v>305</v>
      </c>
      <c r="B7" s="5"/>
      <c r="C7" s="177" t="str">
        <f>'Reimbursement Request'!F7</f>
        <v>7F-10699.01</v>
      </c>
      <c r="D7" s="252"/>
    </row>
    <row r="8" spans="1:4" ht="17.5">
      <c r="A8" s="6" t="s">
        <v>306</v>
      </c>
      <c r="B8" s="5"/>
      <c r="C8" s="178"/>
      <c r="D8" s="252"/>
    </row>
    <row r="9" spans="1:4" ht="17.5">
      <c r="A9" s="6" t="s">
        <v>307</v>
      </c>
      <c r="B9" s="5"/>
      <c r="C9" s="178"/>
      <c r="D9" s="252"/>
    </row>
    <row r="10" spans="1:4" ht="17.5">
      <c r="A10" s="6" t="s">
        <v>308</v>
      </c>
      <c r="B10" s="5"/>
      <c r="C10" s="178"/>
      <c r="D10" s="252"/>
    </row>
    <row r="11" spans="1:4" ht="17.5">
      <c r="A11" s="6" t="s">
        <v>309</v>
      </c>
      <c r="B11" s="5"/>
      <c r="C11" s="178"/>
      <c r="D11" s="252"/>
    </row>
    <row r="12" spans="1:4" ht="17.5">
      <c r="A12" s="5"/>
      <c r="B12" s="1"/>
      <c r="C12" s="7"/>
    </row>
    <row r="13" spans="1:4" ht="17.5">
      <c r="A13" s="6" t="s">
        <v>310</v>
      </c>
      <c r="B13" s="5"/>
      <c r="C13" s="177" t="s">
        <v>18</v>
      </c>
    </row>
    <row r="14" spans="1:4" ht="17.5">
      <c r="A14" s="6" t="s">
        <v>311</v>
      </c>
      <c r="B14" s="5"/>
      <c r="C14" s="184">
        <f>'Reimbursement Request'!F21</f>
        <v>31904.75</v>
      </c>
    </row>
    <row r="15" spans="1:4" ht="25">
      <c r="A15" s="6" t="s">
        <v>312</v>
      </c>
      <c r="B15" s="5"/>
      <c r="C15" s="177"/>
    </row>
    <row r="16" spans="1:4" ht="17.5">
      <c r="A16" s="179" t="str">
        <f>'Financial Progress'!B10</f>
        <v>Management Costs</v>
      </c>
      <c r="B16" s="5"/>
      <c r="C16" s="253">
        <f>'Financial Progress'!I10</f>
        <v>31904.75</v>
      </c>
      <c r="D16" s="252"/>
    </row>
    <row r="17" spans="1:4" ht="17.5">
      <c r="A17" s="179" t="str">
        <f>'Financial Progress'!B16</f>
        <v xml:space="preserve">Programme Component 1 “Cultural and linguistic integration” </v>
      </c>
      <c r="B17" s="5"/>
      <c r="C17" s="178">
        <f>'Financial Progress'!I16</f>
        <v>0</v>
      </c>
      <c r="D17" s="252"/>
    </row>
    <row r="18" spans="1:4" ht="25">
      <c r="A18" s="179" t="str">
        <f>'Financial Progress'!B24</f>
        <v>Programme Component 2 "Strengthening the social-and child protection services"</v>
      </c>
      <c r="B18" s="5"/>
      <c r="C18" s="178">
        <f>'Financial Progress'!I24</f>
        <v>0</v>
      </c>
      <c r="D18" s="252"/>
    </row>
    <row r="19" spans="1:4" ht="25">
      <c r="A19" s="179" t="str">
        <f>'Financial Progress'!B29</f>
        <v>Programme Component 3 “Increasing multicultural competence in the education sector”</v>
      </c>
      <c r="B19" s="5"/>
      <c r="C19" s="178">
        <f>'Financial Progress'!I29</f>
        <v>0</v>
      </c>
      <c r="D19" s="252"/>
    </row>
    <row r="20" spans="1:4" ht="25">
      <c r="A20" s="179" t="str">
        <f>'Financial Progress'!B35</f>
        <v>Programme Component 4 “Strengthening civil society through social innovation.”</v>
      </c>
      <c r="B20" s="5"/>
      <c r="C20" s="178">
        <f>'Financial Progress'!I35</f>
        <v>0</v>
      </c>
      <c r="D20" s="252"/>
    </row>
    <row r="21" spans="1:4" ht="17.5">
      <c r="A21" s="1"/>
      <c r="B21" s="1"/>
      <c r="C21" s="4"/>
    </row>
    <row r="22" spans="1:4" ht="15.5">
      <c r="A22" s="308" t="s">
        <v>313</v>
      </c>
      <c r="B22" s="336"/>
      <c r="C22" s="336"/>
    </row>
    <row r="23" spans="1:4" ht="14">
      <c r="A23" s="2"/>
      <c r="B23" s="2"/>
      <c r="C23" s="4"/>
    </row>
    <row r="24" spans="1:4" ht="17.5">
      <c r="A24" s="6" t="s">
        <v>314</v>
      </c>
      <c r="B24" s="5"/>
      <c r="C24" s="178" t="s">
        <v>342</v>
      </c>
      <c r="D24" s="252"/>
    </row>
    <row r="25" spans="1:4" ht="17.5">
      <c r="A25" s="6" t="s">
        <v>315</v>
      </c>
      <c r="B25" s="5"/>
      <c r="C25" s="178" t="s">
        <v>343</v>
      </c>
      <c r="D25" s="252"/>
    </row>
    <row r="26" spans="1:4" ht="14">
      <c r="A26" s="6" t="s">
        <v>345</v>
      </c>
      <c r="B26" s="2"/>
      <c r="C26" s="178" t="s">
        <v>344</v>
      </c>
      <c r="D26" s="252"/>
    </row>
    <row r="27" spans="1:4">
      <c r="A27" s="6" t="s">
        <v>346</v>
      </c>
      <c r="C27" s="254">
        <v>2550081357</v>
      </c>
      <c r="D27" s="252"/>
    </row>
    <row r="28" spans="1:4" ht="17.5">
      <c r="A28" s="6" t="s">
        <v>316</v>
      </c>
      <c r="B28" s="5"/>
      <c r="C28" s="178" t="s">
        <v>347</v>
      </c>
      <c r="D28" s="252"/>
    </row>
  </sheetData>
  <mergeCells count="3">
    <mergeCell ref="A3:C3"/>
    <mergeCell ref="A22:C22"/>
    <mergeCell ref="A1:C1"/>
  </mergeCells>
  <conditionalFormatting sqref="A1:C26 A24:A28 C24:C28">
    <cfRule type="cellIs" dxfId="1" priority="2" operator="equal">
      <formula>"Bitte auswählen!"</formula>
    </cfRule>
  </conditionalFormatting>
  <conditionalFormatting sqref="A28:C28">
    <cfRule type="cellIs" dxfId="0" priority="1"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c972be-a4eb-46c9-a87c-bd070bddad65" xsi:nil="true"/>
    <lcf76f155ced4ddcb4097134ff3c332f xmlns="697030db-1f16-4ace-95f3-ffdfe239993f">
      <Terms xmlns="http://schemas.microsoft.com/office/infopath/2007/PartnerControls"/>
    </lcf76f155ced4ddcb4097134ff3c332f>
  </documentManagement>
</p:properties>
</file>

<file path=customXml/item3.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ct:contentTypeSchema xmlns:ct="http://schemas.microsoft.com/office/2006/metadata/contentType" xmlns:ma="http://schemas.microsoft.com/office/2006/metadata/properties/metaAttributes" ct:_="" ma:_="" ma:contentTypeName="Document" ma:contentTypeID="0x010100EF0443C015BBC5429B4325BFAAA51234" ma:contentTypeVersion="12" ma:contentTypeDescription="Create a new document." ma:contentTypeScope="" ma:versionID="6215ef5d4bacece109049eed17997418">
  <xsd:schema xmlns:xsd="http://www.w3.org/2001/XMLSchema" xmlns:xs="http://www.w3.org/2001/XMLSchema" xmlns:p="http://schemas.microsoft.com/office/2006/metadata/properties" xmlns:ns2="697030db-1f16-4ace-95f3-ffdfe239993f" xmlns:ns3="80c972be-a4eb-46c9-a87c-bd070bddad65" targetNamespace="http://schemas.microsoft.com/office/2006/metadata/properties" ma:root="true" ma:fieldsID="17708691fa56605167a74ec8b329096d" ns2:_="" ns3:_="">
    <xsd:import namespace="697030db-1f16-4ace-95f3-ffdfe239993f"/>
    <xsd:import namespace="80c972be-a4eb-46c9-a87c-bd070bddad6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030db-1f16-4ace-95f3-ffdfe2399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c972be-a4eb-46c9-a87c-bd070bddad6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61b6b4c-f15c-482d-8c24-fb201473acaf}" ma:internalName="TaxCatchAll" ma:showField="CatchAllData" ma:web="80c972be-a4eb-46c9-a87c-bd070bddad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2.xml><?xml version="1.0" encoding="utf-8"?>
<ds:datastoreItem xmlns:ds="http://schemas.openxmlformats.org/officeDocument/2006/customXml" ds:itemID="{E466FDDF-C3C3-4E62-BF1E-AB026CD85117}">
  <ds:schemaRef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schemas.microsoft.com/office/infopath/2007/PartnerControls"/>
    <ds:schemaRef ds:uri="697030db-1f16-4ace-95f3-ffdfe239993f"/>
    <ds:schemaRef ds:uri="80c972be-a4eb-46c9-a87c-bd070bddad6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CBD9CAF2-70C6-4DE2-AD28-90F1517777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Progress'!Print_Area</vt:lpstr>
      <vt:lpstr>'Procurement plan'!Print_Area</vt:lpstr>
      <vt:lpstr>'Programme Characteristics'!Print_Area</vt:lpstr>
      <vt:lpstr>'Reimbursement Request'!Print_Area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Helena Musthallik</cp:lastModifiedBy>
  <cp:revision/>
  <dcterms:created xsi:type="dcterms:W3CDTF">2009-07-02T10:25:47Z</dcterms:created>
  <dcterms:modified xsi:type="dcterms:W3CDTF">2025-02-06T10:06:17Z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0x010100EF0443C015BBC5429B4325BFAAA51234</vt:lpwstr>
  </property>
  <property fmtid="{D5CDD505-2E9C-101B-9397-08002B2CF9AE}" pid="126" name="MediaServiceImageTags">
    <vt:lpwstr/>
  </property>
</Properties>
</file>